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Publish\02 - SoLR Adjusted Versions Jan 22\Option 1 Full SOLR\For Publishing\"/>
    </mc:Choice>
  </mc:AlternateContent>
  <workbookProtection lockStructure="1"/>
  <bookViews>
    <workbookView xWindow="-4056" yWindow="-17388" windowWidth="30936" windowHeight="16896"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0" i="87" l="1"/>
  <c r="M175" i="87"/>
  <c r="K180" i="87"/>
  <c r="N175" i="87"/>
  <c r="M176" i="87" l="1"/>
  <c r="N176" i="87"/>
  <c r="K170" i="87"/>
  <c r="M180" i="87"/>
  <c r="K175" i="87"/>
  <c r="L175" i="87"/>
  <c r="K181" i="87"/>
  <c r="L181" i="87"/>
  <c r="M170" i="87"/>
  <c r="L170" i="87"/>
  <c r="N170" i="87"/>
  <c r="N180" i="87"/>
  <c r="K176" i="87" l="1"/>
  <c r="M181" i="87"/>
  <c r="N181" i="87"/>
  <c r="K171" i="87"/>
  <c r="M171" i="87"/>
  <c r="N171" i="87"/>
  <c r="L171" i="87"/>
  <c r="L176"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R174" i="105" l="1"/>
  <c r="W174" i="105"/>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U354" i="22"/>
  <c r="U487" i="22" s="1"/>
  <c r="AK54" i="41" s="1"/>
  <c r="X353" i="22"/>
  <c r="X481" i="22" s="1"/>
  <c r="AN53"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H35" i="72" l="1" a="1"/>
  <c r="H39" i="72" s="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42" i="72"/>
  <c r="H44"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43" i="72" l="1"/>
  <c r="H38" i="72"/>
  <c r="H41" i="72"/>
  <c r="H35" i="72"/>
  <c r="H36" i="72"/>
  <c r="H37"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P444" i="22" l="1"/>
  <c r="P508" i="22" s="1"/>
  <c r="AE57" i="41" s="1"/>
  <c r="O415" i="22"/>
  <c r="O507" i="22" s="1"/>
  <c r="Y57" i="41" s="1"/>
  <c r="M358" i="22"/>
  <c r="M511" i="22" s="1"/>
  <c r="Q58" i="41" s="1"/>
  <c r="P445" i="22"/>
  <c r="P514" i="22" s="1"/>
  <c r="AE58" i="41" s="1"/>
  <c r="K354" i="22"/>
  <c r="K487" i="22" s="1"/>
  <c r="K54" i="41" s="1"/>
  <c r="L413" i="22"/>
  <c r="L495" i="22" s="1"/>
  <c r="N55" i="41" s="1"/>
  <c r="P384" i="22"/>
  <c r="P494" i="22" s="1"/>
  <c r="AC55" i="41" s="1"/>
  <c r="N415" i="22"/>
  <c r="N507" i="22" s="1"/>
  <c r="T57" i="41" s="1"/>
  <c r="N444" i="22"/>
  <c r="N508" i="22" s="1"/>
  <c r="U57" i="41" s="1"/>
  <c r="N357" i="22"/>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N505" i="22"/>
  <c r="R57" i="41" s="1"/>
  <c r="K359" i="22"/>
  <c r="N514" i="22"/>
  <c r="U58" i="41" s="1"/>
  <c r="N511" i="22"/>
  <c r="R58" i="41" s="1"/>
  <c r="P513" i="22"/>
  <c r="AD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K200" i="80" s="1"/>
  <c r="K20" i="74" s="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AF119" i="41"/>
  <c r="AF131" i="41" s="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E118" i="41" l="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6" i="72" l="1"/>
  <c r="X201" i="72" s="1"/>
  <c r="X231" i="72" s="1"/>
  <c r="U82" i="80"/>
  <c r="U128" i="80"/>
  <c r="T167" i="72"/>
  <c r="T202" i="72" s="1"/>
  <c r="T232" i="72" s="1"/>
  <c r="R127" i="83"/>
  <c r="X127" i="83"/>
  <c r="W105" i="80"/>
  <c r="W84" i="80"/>
  <c r="W82" i="80"/>
  <c r="W130" i="80"/>
  <c r="V131" i="80"/>
  <c r="X185" i="83"/>
  <c r="X56" i="71" s="1"/>
  <c r="X161" i="71" s="1"/>
  <c r="V85" i="80"/>
  <c r="V164" i="72"/>
  <c r="V199" i="72" s="1"/>
  <c r="V229" i="72" s="1"/>
  <c r="S126" i="83"/>
  <c r="W218" i="83"/>
  <c r="W90" i="71" s="1"/>
  <c r="W195" i="71" s="1"/>
  <c r="Y131" i="83"/>
  <c r="V132" i="83"/>
  <c r="Y164" i="72"/>
  <c r="Y199" i="72" s="1"/>
  <c r="Y229" i="72" s="1"/>
  <c r="W156" i="83"/>
  <c r="W26" i="71" s="1"/>
  <c r="W131" i="71" s="1"/>
  <c r="P202" i="80"/>
  <c r="V107" i="80"/>
  <c r="Y160" i="72"/>
  <c r="Y195" i="72" s="1"/>
  <c r="Y225" i="72" s="1"/>
  <c r="X165" i="72"/>
  <c r="X200" i="72" s="1"/>
  <c r="X230" i="72" s="1"/>
  <c r="U166" i="72"/>
  <c r="U201" i="72" s="1"/>
  <c r="U231" i="72" s="1"/>
  <c r="T90" i="80"/>
  <c r="U163" i="72"/>
  <c r="U198" i="72" s="1"/>
  <c r="U228" i="72" s="1"/>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P206" i="80"/>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T150" i="80" s="1"/>
  <c r="T176" i="80" s="1"/>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143" i="80" s="1"/>
  <c r="X169" i="80" s="1"/>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V145" i="80" l="1"/>
  <c r="V171" i="80" s="1"/>
  <c r="W144" i="80"/>
  <c r="W170" i="80" s="1"/>
  <c r="V144" i="80"/>
  <c r="V170" i="80" s="1"/>
  <c r="U145" i="80"/>
  <c r="U171" i="80" s="1"/>
  <c r="X142" i="80"/>
  <c r="X168"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T208" i="80"/>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H214" i="80" l="1"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30" i="80" s="1"/>
  <c r="H222" i="80"/>
  <c r="H220" i="80"/>
  <c r="H215" i="80"/>
  <c r="H227" i="80" s="1"/>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100" i="81"/>
  <c r="P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1" i="105" l="1"/>
  <c r="H56" i="89" l="1"/>
  <c r="H30" i="112"/>
  <c r="H40" i="112" s="1"/>
  <c r="J44" i="112" s="1"/>
  <c r="H64" i="41"/>
  <c r="H31" i="112"/>
  <c r="H41" i="112" s="1"/>
  <c r="H65" i="41"/>
  <c r="H69" i="89"/>
  <c r="H44" i="89"/>
  <c r="H45" i="89" s="1"/>
  <c r="L45" i="112" l="1"/>
  <c r="L46" i="112" s="1"/>
  <c r="P45" i="112"/>
  <c r="P46" i="112" s="1"/>
  <c r="N45" i="112"/>
  <c r="N46" i="112" s="1"/>
  <c r="O45" i="112"/>
  <c r="O46" i="112" s="1"/>
  <c r="J45" i="112"/>
  <c r="J46" i="112" s="1"/>
  <c r="J29" i="41" l="1"/>
  <c r="J48" i="41" s="1"/>
  <c r="J50" i="112"/>
  <c r="J54" i="112"/>
  <c r="O29" i="41"/>
  <c r="O50" i="112"/>
  <c r="O54" i="112"/>
  <c r="N29" i="41"/>
  <c r="N54" i="112"/>
  <c r="N50" i="112"/>
  <c r="P29" i="41"/>
  <c r="P50" i="112"/>
  <c r="P54" i="112"/>
  <c r="L29" i="41"/>
  <c r="L54" i="112"/>
  <c r="L50" i="112"/>
  <c r="J60" i="112" l="1"/>
  <c r="H52" i="112"/>
  <c r="H86" i="105" s="1"/>
  <c r="H129" i="105" s="1"/>
  <c r="T48" i="41"/>
  <c r="T47" i="65" s="1"/>
  <c r="T43" i="82" s="1"/>
  <c r="U48" i="41"/>
  <c r="U47" i="65" s="1"/>
  <c r="U43" i="82" s="1"/>
  <c r="S48" i="41"/>
  <c r="S47" i="65" s="1"/>
  <c r="S43" i="82" s="1"/>
  <c r="R48" i="41"/>
  <c r="R47" i="65" s="1"/>
  <c r="R43" i="82" s="1"/>
  <c r="V48" i="41"/>
  <c r="V47" i="65" s="1"/>
  <c r="V43" i="82" s="1"/>
  <c r="O60" i="112"/>
  <c r="J47" i="65"/>
  <c r="J43" i="82" s="1"/>
  <c r="AA48" i="41"/>
  <c r="AA47" i="65" s="1"/>
  <c r="AA43" i="82" s="1"/>
  <c r="W48" i="41"/>
  <c r="W47" i="65" s="1"/>
  <c r="W43" i="82" s="1"/>
  <c r="X48" i="41"/>
  <c r="X47" i="65" s="1"/>
  <c r="X43" i="82" s="1"/>
  <c r="Y48" i="41"/>
  <c r="Y47" i="65" s="1"/>
  <c r="Y43" i="82" s="1"/>
  <c r="Z48" i="41"/>
  <c r="Z47" i="65" s="1"/>
  <c r="Z43" i="82" s="1"/>
  <c r="L60" i="112"/>
  <c r="P60" i="112"/>
  <c r="AB48" i="41"/>
  <c r="AB47" i="65" s="1"/>
  <c r="AB43" i="82" s="1"/>
  <c r="AF48" i="41"/>
  <c r="AF47" i="65" s="1"/>
  <c r="AF43" i="82" s="1"/>
  <c r="AE48" i="41"/>
  <c r="AE47" i="65" s="1"/>
  <c r="AE43" i="82" s="1"/>
  <c r="AC48" i="41"/>
  <c r="AC47" i="65" s="1"/>
  <c r="AC43" i="82" s="1"/>
  <c r="AD48" i="41"/>
  <c r="AD47" i="65" s="1"/>
  <c r="AD43" i="82" s="1"/>
  <c r="M48" i="41"/>
  <c r="M47" i="65" s="1"/>
  <c r="M43" i="82" s="1"/>
  <c r="P48" i="41"/>
  <c r="P47" i="65" s="1"/>
  <c r="P43" i="82" s="1"/>
  <c r="N48" i="41"/>
  <c r="N47" i="65" s="1"/>
  <c r="N43" i="82" s="1"/>
  <c r="L48" i="41"/>
  <c r="L47" i="65" s="1"/>
  <c r="L43" i="82" s="1"/>
  <c r="O48" i="41"/>
  <c r="O47" i="65" s="1"/>
  <c r="O43" i="82" s="1"/>
  <c r="N60" i="112"/>
  <c r="H56" i="112"/>
  <c r="H87" i="105" s="1"/>
  <c r="H130" i="105" s="1"/>
  <c r="AL222" i="41" l="1" a="1"/>
  <c r="AL222" i="41" s="1"/>
  <c r="AL224" i="41" s="1"/>
  <c r="AL226" i="41" s="1"/>
  <c r="AL228" i="41" s="1"/>
  <c r="R222" i="41" a="1"/>
  <c r="R222" i="41" s="1"/>
  <c r="R224" i="41" s="1"/>
  <c r="R226" i="41" s="1"/>
  <c r="R228" i="41" s="1"/>
  <c r="J222" i="41" a="1"/>
  <c r="J222" i="41" s="1"/>
  <c r="AJ222" i="41" a="1"/>
  <c r="AJ222" i="41" s="1"/>
  <c r="AJ224" i="41" s="1"/>
  <c r="AJ226" i="41" s="1"/>
  <c r="AJ228" i="41" s="1"/>
  <c r="L222" i="41" a="1"/>
  <c r="L222" i="41" s="1"/>
  <c r="L224" i="41" s="1"/>
  <c r="L226" i="41" s="1"/>
  <c r="L228" i="41" s="1"/>
  <c r="AK222" i="41" a="1"/>
  <c r="AK222" i="41" s="1"/>
  <c r="AK224" i="41" s="1"/>
  <c r="AK415" i="41" s="1"/>
  <c r="AK35" i="65" s="1"/>
  <c r="AK113" i="65" s="1"/>
  <c r="AK124" i="65" s="1"/>
  <c r="AK153" i="65" s="1"/>
  <c r="AK58" i="105" s="1"/>
  <c r="AK98" i="105" s="1"/>
  <c r="AI222" i="41" a="1"/>
  <c r="AI222" i="41" s="1"/>
  <c r="AI224" i="41" s="1"/>
  <c r="AI415" i="41" s="1"/>
  <c r="AI35" i="65" s="1"/>
  <c r="AI113" i="65" s="1"/>
  <c r="AN222" i="41" a="1"/>
  <c r="AN222" i="41" s="1"/>
  <c r="AN224" i="41" s="1"/>
  <c r="AN415" i="41" s="1"/>
  <c r="AN35" i="65" s="1"/>
  <c r="AN113" i="65" s="1"/>
  <c r="AM222" i="41" a="1"/>
  <c r="AM222" i="41" s="1"/>
  <c r="AM224" i="41" s="1"/>
  <c r="AM415" i="41" s="1"/>
  <c r="AM35" i="65" s="1"/>
  <c r="AM113" i="65" s="1"/>
  <c r="AM124" i="65" s="1"/>
  <c r="AM153" i="65" s="1"/>
  <c r="AM58" i="105" s="1"/>
  <c r="AM98" i="105" s="1"/>
  <c r="K222" i="41" a="1"/>
  <c r="K222" i="41" s="1"/>
  <c r="K224" i="41" s="1"/>
  <c r="K226" i="41" s="1"/>
  <c r="K228" i="41" s="1"/>
  <c r="AB222" i="41" a="1"/>
  <c r="AB222" i="41" s="1"/>
  <c r="AB224" i="41" s="1"/>
  <c r="AB415" i="41" s="1"/>
  <c r="AB35" i="65" s="1"/>
  <c r="AB113" i="65" s="1"/>
  <c r="AH222" i="41" a="1"/>
  <c r="AH222" i="41" s="1"/>
  <c r="AH224" i="41" s="1"/>
  <c r="AH226" i="41" s="1"/>
  <c r="AH228" i="41" s="1"/>
  <c r="AO222" i="41" a="1"/>
  <c r="AO222" i="41" s="1"/>
  <c r="AO224" i="41" s="1"/>
  <c r="AO415" i="41" s="1"/>
  <c r="AO35" i="65" s="1"/>
  <c r="AO113" i="65" s="1"/>
  <c r="AO124" i="65" s="1"/>
  <c r="AO153" i="65" s="1"/>
  <c r="AO58" i="105" s="1"/>
  <c r="AO98" i="105" s="1"/>
  <c r="W222" i="41" a="1"/>
  <c r="W222" i="41" s="1"/>
  <c r="W224" i="41" s="1"/>
  <c r="W226" i="41" s="1"/>
  <c r="W228" i="41" s="1"/>
  <c r="Q222" i="41" a="1"/>
  <c r="Q222" i="41" s="1"/>
  <c r="Q224" i="41" s="1"/>
  <c r="Q226" i="41" s="1"/>
  <c r="Q228" i="41" s="1"/>
  <c r="Y222" i="41" a="1"/>
  <c r="Y222" i="41" s="1"/>
  <c r="O222" i="41" a="1"/>
  <c r="O222" i="41" s="1"/>
  <c r="N222" i="41" a="1"/>
  <c r="N222" i="41" s="1"/>
  <c r="AG222" i="41" a="1"/>
  <c r="AG222" i="41" s="1"/>
  <c r="AG224" i="41" s="1"/>
  <c r="AD222" i="41" a="1"/>
  <c r="AD222" i="41" s="1"/>
  <c r="AF222" i="41" a="1"/>
  <c r="AF222" i="41" s="1"/>
  <c r="M222" i="41" a="1"/>
  <c r="M222" i="41" s="1"/>
  <c r="U222" i="41" a="1"/>
  <c r="U222" i="41" s="1"/>
  <c r="P222" i="41" a="1"/>
  <c r="P222" i="41" s="1"/>
  <c r="S222" i="41" a="1"/>
  <c r="S222" i="41" s="1"/>
  <c r="V222" i="41" a="1"/>
  <c r="V222" i="41" s="1"/>
  <c r="T222" i="41" a="1"/>
  <c r="T222" i="41" s="1"/>
  <c r="AC222" i="41" a="1"/>
  <c r="AC222" i="41" s="1"/>
  <c r="X222" i="41" a="1"/>
  <c r="X222" i="41" s="1"/>
  <c r="AE222" i="41" a="1"/>
  <c r="AE222" i="41" s="1"/>
  <c r="AA222" i="41" a="1"/>
  <c r="AA222" i="41" s="1"/>
  <c r="Z222" i="41" a="1"/>
  <c r="Z222" i="41" s="1"/>
  <c r="H62" i="112"/>
  <c r="H64" i="112" s="1"/>
  <c r="H66" i="112" s="1" a="1"/>
  <c r="H66" i="112" s="1"/>
  <c r="AL415" i="41" l="1"/>
  <c r="AL35" i="65" s="1"/>
  <c r="AL113" i="65" s="1"/>
  <c r="K415" i="41"/>
  <c r="K35" i="65" s="1"/>
  <c r="K113" i="65" s="1"/>
  <c r="K35" i="82" s="1"/>
  <c r="R415" i="41"/>
  <c r="R35" i="65" s="1"/>
  <c r="R113" i="65" s="1"/>
  <c r="R35" i="82" s="1"/>
  <c r="AM226" i="41"/>
  <c r="AM228" i="41" s="1"/>
  <c r="AM424" i="41" s="1"/>
  <c r="AO226" i="41"/>
  <c r="AO228" i="41" s="1"/>
  <c r="AO424" i="41" s="1"/>
  <c r="AI226" i="41"/>
  <c r="AI228" i="41" s="1"/>
  <c r="AI424" i="41" s="1"/>
  <c r="L415" i="41"/>
  <c r="L35" i="65" s="1"/>
  <c r="L113" i="65" s="1"/>
  <c r="L35" i="82" s="1"/>
  <c r="Q415" i="41"/>
  <c r="Q35" i="65" s="1"/>
  <c r="Q113" i="65" s="1"/>
  <c r="Q124" i="65" s="1"/>
  <c r="Q153" i="65" s="1"/>
  <c r="Q58" i="105" s="1"/>
  <c r="Q98" i="105" s="1"/>
  <c r="AN226" i="41"/>
  <c r="AN228" i="41" s="1"/>
  <c r="AH415" i="41"/>
  <c r="AH35" i="65" s="1"/>
  <c r="AH113" i="65" s="1"/>
  <c r="AH124" i="65" s="1"/>
  <c r="AH153" i="65" s="1"/>
  <c r="AH58" i="105" s="1"/>
  <c r="AH98" i="105" s="1"/>
  <c r="AJ415" i="41"/>
  <c r="AJ35" i="65" s="1"/>
  <c r="AJ113" i="65" s="1"/>
  <c r="AJ35" i="82" s="1"/>
  <c r="AB226" i="41"/>
  <c r="AB228" i="41" s="1"/>
  <c r="AB237" i="41" s="1"/>
  <c r="W415" i="41"/>
  <c r="W35" i="65" s="1"/>
  <c r="W113" i="65" s="1"/>
  <c r="W124" i="65" s="1"/>
  <c r="W153" i="65" s="1"/>
  <c r="W58" i="105" s="1"/>
  <c r="W98" i="105" s="1"/>
  <c r="AK226" i="41"/>
  <c r="AK228" i="41" s="1"/>
  <c r="AK424" i="41" s="1"/>
  <c r="AL424" i="41"/>
  <c r="AL237" i="41"/>
  <c r="AK35" i="82"/>
  <c r="AL142" i="65"/>
  <c r="AL171" i="65" s="1"/>
  <c r="AL76" i="105" s="1"/>
  <c r="AL124" i="65"/>
  <c r="AL153" i="65" s="1"/>
  <c r="AL58" i="105" s="1"/>
  <c r="AL98" i="105" s="1"/>
  <c r="R424" i="41"/>
  <c r="R237" i="41"/>
  <c r="Q424" i="41"/>
  <c r="Q237" i="41"/>
  <c r="AI35" i="82"/>
  <c r="AI124" i="65"/>
  <c r="AI153" i="65" s="1"/>
  <c r="AI58" i="105" s="1"/>
  <c r="AI98" i="105" s="1"/>
  <c r="AI142" i="65"/>
  <c r="AI171" i="65" s="1"/>
  <c r="AI76" i="105" s="1"/>
  <c r="AJ424" i="41"/>
  <c r="AJ237" i="41"/>
  <c r="AH424" i="41"/>
  <c r="AH237" i="41"/>
  <c r="AL35" i="82"/>
  <c r="AN142" i="65"/>
  <c r="AN171" i="65" s="1"/>
  <c r="AN76" i="105" s="1"/>
  <c r="AN124" i="65"/>
  <c r="AN153" i="65" s="1"/>
  <c r="AN58" i="105" s="1"/>
  <c r="AN98" i="105" s="1"/>
  <c r="K424" i="41"/>
  <c r="K237" i="41"/>
  <c r="AG226" i="41"/>
  <c r="AG228" i="41" s="1"/>
  <c r="AG415" i="41"/>
  <c r="AG35" i="65" s="1"/>
  <c r="AG113" i="65" s="1"/>
  <c r="L424" i="41"/>
  <c r="L237" i="41"/>
  <c r="A4" i="112"/>
  <c r="J52" i="55"/>
  <c r="W424" i="41"/>
  <c r="W237" i="41"/>
  <c r="AB35" i="82"/>
  <c r="AB142" i="65"/>
  <c r="AB171" i="65" s="1"/>
  <c r="AB76" i="105" s="1"/>
  <c r="AB118" i="105" s="1"/>
  <c r="AB124" i="65"/>
  <c r="AB153" i="65" s="1"/>
  <c r="AB58" i="105" s="1"/>
  <c r="AB98" i="105" s="1"/>
  <c r="AM237" i="41" l="1"/>
  <c r="AM268" i="41" s="1"/>
  <c r="R124" i="65"/>
  <c r="R153" i="65" s="1"/>
  <c r="R58" i="105" s="1"/>
  <c r="R98" i="105" s="1"/>
  <c r="R133" i="65"/>
  <c r="R162" i="65" s="1"/>
  <c r="R67" i="105" s="1"/>
  <c r="R108" i="105" s="1"/>
  <c r="R142" i="65"/>
  <c r="R171" i="65" s="1"/>
  <c r="R76" i="105" s="1"/>
  <c r="R118" i="105" s="1"/>
  <c r="AI237" i="41"/>
  <c r="AI403" i="41" s="1"/>
  <c r="AI412" i="41" s="1"/>
  <c r="AI32" i="65" s="1"/>
  <c r="AI110" i="65" s="1"/>
  <c r="K124" i="65"/>
  <c r="K153" i="65" s="1"/>
  <c r="K58" i="105" s="1"/>
  <c r="K98" i="105" s="1"/>
  <c r="K133" i="65"/>
  <c r="K162" i="65" s="1"/>
  <c r="K67" i="105" s="1"/>
  <c r="K108" i="105" s="1"/>
  <c r="K142" i="65"/>
  <c r="K171" i="65" s="1"/>
  <c r="K76" i="105" s="1"/>
  <c r="K118" i="105" s="1"/>
  <c r="AO237" i="41"/>
  <c r="AO267" i="41" s="1"/>
  <c r="Q35" i="82"/>
  <c r="L142" i="65"/>
  <c r="L171" i="65" s="1"/>
  <c r="L76" i="105" s="1"/>
  <c r="L118" i="105" s="1"/>
  <c r="L133" i="65"/>
  <c r="L162" i="65" s="1"/>
  <c r="L67" i="105" s="1"/>
  <c r="L108" i="105" s="1"/>
  <c r="Q142" i="65"/>
  <c r="Q171" i="65" s="1"/>
  <c r="Q76" i="105" s="1"/>
  <c r="Q118" i="105" s="1"/>
  <c r="Q133" i="65"/>
  <c r="Q162" i="65" s="1"/>
  <c r="Q67" i="105" s="1"/>
  <c r="Q108" i="105" s="1"/>
  <c r="L124" i="65"/>
  <c r="L153" i="65" s="1"/>
  <c r="L58" i="105" s="1"/>
  <c r="L98" i="105" s="1"/>
  <c r="R293" i="41"/>
  <c r="R295" i="41" s="1"/>
  <c r="W293" i="41"/>
  <c r="W295" i="41" s="1"/>
  <c r="AH142" i="65"/>
  <c r="AH171" i="65" s="1"/>
  <c r="AH76" i="105" s="1"/>
  <c r="AH118" i="105" s="1"/>
  <c r="AK237" i="41"/>
  <c r="AK403" i="41" s="1"/>
  <c r="AK412" i="41" s="1"/>
  <c r="AK32" i="65" s="1"/>
  <c r="AK110" i="65" s="1"/>
  <c r="AK121" i="65" s="1"/>
  <c r="AK150" i="65" s="1"/>
  <c r="AK55" i="105" s="1"/>
  <c r="AK95" i="105" s="1"/>
  <c r="AB424" i="41"/>
  <c r="AO293" i="41"/>
  <c r="AO295" i="41" s="1"/>
  <c r="AJ293" i="41"/>
  <c r="AJ295" i="41" s="1"/>
  <c r="AM293" i="41"/>
  <c r="AM295" i="41" s="1"/>
  <c r="AN237" i="41"/>
  <c r="AN249" i="41" s="1"/>
  <c r="AN293" i="41"/>
  <c r="AN295" i="41" s="1"/>
  <c r="L293" i="41"/>
  <c r="L295" i="41" s="1"/>
  <c r="AN424" i="41"/>
  <c r="AL293" i="41"/>
  <c r="AL295" i="41" s="1"/>
  <c r="K293" i="41"/>
  <c r="K295" i="41" s="1"/>
  <c r="Q293" i="41"/>
  <c r="Q295" i="41" s="1"/>
  <c r="AB293" i="41"/>
  <c r="AB295" i="41" s="1"/>
  <c r="AH293" i="41"/>
  <c r="AH295" i="41" s="1"/>
  <c r="AK293" i="41"/>
  <c r="AK295" i="41" s="1"/>
  <c r="AI293" i="41"/>
  <c r="AI295" i="41" s="1"/>
  <c r="AJ124" i="65"/>
  <c r="AJ153" i="65" s="1"/>
  <c r="AJ58" i="105" s="1"/>
  <c r="AJ98" i="105" s="1"/>
  <c r="AH133" i="65"/>
  <c r="AH162" i="65" s="1"/>
  <c r="AH67" i="105" s="1"/>
  <c r="AH108" i="105" s="1"/>
  <c r="AJ142" i="65"/>
  <c r="AJ171" i="65" s="1"/>
  <c r="AJ76" i="105" s="1"/>
  <c r="AJ196" i="105" s="1"/>
  <c r="AH35" i="82"/>
  <c r="AJ133" i="65"/>
  <c r="AJ162" i="65" s="1"/>
  <c r="AJ67" i="105" s="1"/>
  <c r="AJ185" i="105" s="1"/>
  <c r="W142" i="65"/>
  <c r="W171" i="65" s="1"/>
  <c r="W76" i="105" s="1"/>
  <c r="W118" i="105" s="1"/>
  <c r="W35" i="82"/>
  <c r="Q404" i="41"/>
  <c r="Q413" i="41" s="1"/>
  <c r="Q33" i="65" s="1"/>
  <c r="Q111" i="65" s="1"/>
  <c r="Q250" i="41"/>
  <c r="Q273" i="41"/>
  <c r="Q272" i="41"/>
  <c r="Q268" i="41"/>
  <c r="Q249" i="41"/>
  <c r="Q403" i="41"/>
  <c r="Q412" i="41" s="1"/>
  <c r="Q32" i="65" s="1"/>
  <c r="Q110" i="65" s="1"/>
  <c r="Q274" i="41"/>
  <c r="Q267" i="41"/>
  <c r="Q251" i="41"/>
  <c r="Q405" i="41"/>
  <c r="Q414" i="41" s="1"/>
  <c r="Q34" i="65" s="1"/>
  <c r="Q112" i="65" s="1"/>
  <c r="Q269" i="41"/>
  <c r="AH185" i="105"/>
  <c r="AL196" i="105"/>
  <c r="AL118" i="105"/>
  <c r="AG35" i="82"/>
  <c r="AG124" i="65"/>
  <c r="AG153" i="65" s="1"/>
  <c r="AG58" i="105" s="1"/>
  <c r="AG98" i="105" s="1"/>
  <c r="AG133" i="65"/>
  <c r="AG162" i="65" s="1"/>
  <c r="AG67" i="105" s="1"/>
  <c r="AG142" i="65"/>
  <c r="AG171" i="65" s="1"/>
  <c r="AG76" i="105" s="1"/>
  <c r="AG424" i="41"/>
  <c r="AG293" i="41"/>
  <c r="AG295" i="41" s="1"/>
  <c r="AG237" i="41"/>
  <c r="K405" i="41"/>
  <c r="K251" i="41"/>
  <c r="K404" i="41"/>
  <c r="K267" i="41"/>
  <c r="K274" i="41"/>
  <c r="K250" i="41"/>
  <c r="K268" i="41"/>
  <c r="K272" i="41"/>
  <c r="K269" i="41"/>
  <c r="K273" i="41"/>
  <c r="K249" i="41"/>
  <c r="K403" i="41"/>
  <c r="AN196" i="105"/>
  <c r="AN118" i="105"/>
  <c r="AM267" i="41"/>
  <c r="AM269" i="41"/>
  <c r="L274" i="41"/>
  <c r="L403" i="41"/>
  <c r="L412" i="41" s="1"/>
  <c r="L32" i="65" s="1"/>
  <c r="L110" i="65" s="1"/>
  <c r="L273" i="41"/>
  <c r="L269" i="41"/>
  <c r="L405" i="41"/>
  <c r="L414" i="41" s="1"/>
  <c r="L34" i="65" s="1"/>
  <c r="L112" i="65" s="1"/>
  <c r="L250" i="41"/>
  <c r="L251" i="41"/>
  <c r="L249" i="41"/>
  <c r="L272" i="41"/>
  <c r="L268" i="41"/>
  <c r="L404" i="41"/>
  <c r="L413" i="41" s="1"/>
  <c r="L33" i="65" s="1"/>
  <c r="L111" i="65" s="1"/>
  <c r="L267" i="41"/>
  <c r="K185" i="105"/>
  <c r="AJ405" i="41"/>
  <c r="AJ414" i="41" s="1"/>
  <c r="AJ34" i="65" s="1"/>
  <c r="AJ112" i="65" s="1"/>
  <c r="AJ267" i="41"/>
  <c r="AJ273" i="41"/>
  <c r="AJ269" i="41"/>
  <c r="AJ272" i="41"/>
  <c r="AJ404" i="41"/>
  <c r="AJ413" i="41" s="1"/>
  <c r="AJ33" i="65" s="1"/>
  <c r="AJ111" i="65" s="1"/>
  <c r="AJ274" i="41"/>
  <c r="AJ249" i="41"/>
  <c r="AJ268" i="41"/>
  <c r="AJ403" i="41"/>
  <c r="AJ412" i="41" s="1"/>
  <c r="AJ32" i="65" s="1"/>
  <c r="AJ110" i="65" s="1"/>
  <c r="AJ251" i="41"/>
  <c r="AJ250" i="41"/>
  <c r="AI269" i="41"/>
  <c r="AI404" i="41"/>
  <c r="AI413" i="41" s="1"/>
  <c r="AI33" i="65" s="1"/>
  <c r="AI111" i="65" s="1"/>
  <c r="K196" i="105"/>
  <c r="AI196" i="105"/>
  <c r="AI118" i="105"/>
  <c r="Q196" i="105"/>
  <c r="W403" i="41"/>
  <c r="W412" i="41" s="1"/>
  <c r="W32" i="65" s="1"/>
  <c r="W110" i="65" s="1"/>
  <c r="W250" i="41"/>
  <c r="W251" i="41"/>
  <c r="W267" i="41"/>
  <c r="W272" i="41"/>
  <c r="W249" i="41"/>
  <c r="W274" i="41"/>
  <c r="W268" i="41"/>
  <c r="W404" i="41"/>
  <c r="W413" i="41" s="1"/>
  <c r="W33" i="65" s="1"/>
  <c r="W111" i="65" s="1"/>
  <c r="W405" i="41"/>
  <c r="W414" i="41" s="1"/>
  <c r="W34" i="65" s="1"/>
  <c r="W112" i="65" s="1"/>
  <c r="W269" i="41"/>
  <c r="W273" i="41"/>
  <c r="AB403" i="41"/>
  <c r="AB412" i="41" s="1"/>
  <c r="AB32" i="65" s="1"/>
  <c r="AB110" i="65" s="1"/>
  <c r="AB273" i="41"/>
  <c r="AB249" i="41"/>
  <c r="AB405" i="41"/>
  <c r="AB414" i="41" s="1"/>
  <c r="AB34" i="65" s="1"/>
  <c r="AB112" i="65" s="1"/>
  <c r="AB268" i="41"/>
  <c r="AB267" i="41"/>
  <c r="AB404" i="41"/>
  <c r="AB413" i="41" s="1"/>
  <c r="AB33" i="65" s="1"/>
  <c r="AB111" i="65" s="1"/>
  <c r="AB274" i="41"/>
  <c r="AB250" i="41"/>
  <c r="AB269" i="41"/>
  <c r="AB251" i="41"/>
  <c r="AB272" i="41"/>
  <c r="AH274" i="41"/>
  <c r="AH404" i="41"/>
  <c r="AH413" i="41" s="1"/>
  <c r="AH33" i="65" s="1"/>
  <c r="AH111" i="65" s="1"/>
  <c r="AH268" i="41"/>
  <c r="AH405" i="41"/>
  <c r="AH414" i="41" s="1"/>
  <c r="AH34" i="65" s="1"/>
  <c r="AH112" i="65" s="1"/>
  <c r="AH250" i="41"/>
  <c r="AH273" i="41"/>
  <c r="AH267" i="41"/>
  <c r="AH269" i="41"/>
  <c r="AH272" i="41"/>
  <c r="AH403" i="41"/>
  <c r="AH412" i="41" s="1"/>
  <c r="AH32" i="65" s="1"/>
  <c r="AH110" i="65" s="1"/>
  <c r="AH251" i="41"/>
  <c r="AH249" i="41"/>
  <c r="R403" i="41"/>
  <c r="R412" i="41" s="1"/>
  <c r="R32" i="65" s="1"/>
  <c r="R110" i="65" s="1"/>
  <c r="R250" i="41"/>
  <c r="R267" i="41"/>
  <c r="R269" i="41"/>
  <c r="R273" i="41"/>
  <c r="R272" i="41"/>
  <c r="R251" i="41"/>
  <c r="R405" i="41"/>
  <c r="R414" i="41" s="1"/>
  <c r="R34" i="65" s="1"/>
  <c r="R112" i="65" s="1"/>
  <c r="R404" i="41"/>
  <c r="R413" i="41" s="1"/>
  <c r="R33" i="65" s="1"/>
  <c r="R111" i="65" s="1"/>
  <c r="R249" i="41"/>
  <c r="R268" i="41"/>
  <c r="R274" i="41"/>
  <c r="AL272" i="41"/>
  <c r="AL403" i="41"/>
  <c r="AL412" i="41" s="1"/>
  <c r="AL32" i="65" s="1"/>
  <c r="AL110" i="65" s="1"/>
  <c r="AL267" i="41"/>
  <c r="AL404" i="41"/>
  <c r="AL413" i="41" s="1"/>
  <c r="AL33" i="65" s="1"/>
  <c r="AL111" i="65" s="1"/>
  <c r="AL274" i="41"/>
  <c r="AL251" i="41"/>
  <c r="AL268" i="41"/>
  <c r="AL250" i="41"/>
  <c r="AL405" i="41"/>
  <c r="AL414" i="41" s="1"/>
  <c r="AL34" i="65" s="1"/>
  <c r="AL112" i="65" s="1"/>
  <c r="AL269" i="41"/>
  <c r="AL273" i="41"/>
  <c r="AL249" i="41"/>
  <c r="Q185" i="105"/>
  <c r="AO269" i="41"/>
  <c r="AH196" i="105"/>
  <c r="AM404" i="41" l="1"/>
  <c r="AM413" i="41" s="1"/>
  <c r="AM33" i="65" s="1"/>
  <c r="AM111" i="65" s="1"/>
  <c r="AM122" i="65" s="1"/>
  <c r="AM151" i="65" s="1"/>
  <c r="AM56" i="105" s="1"/>
  <c r="AM96" i="105" s="1"/>
  <c r="AM405" i="41"/>
  <c r="AM414" i="41" s="1"/>
  <c r="AM34" i="65" s="1"/>
  <c r="AM112" i="65" s="1"/>
  <c r="AM123" i="65" s="1"/>
  <c r="AM152" i="65" s="1"/>
  <c r="AM57" i="105" s="1"/>
  <c r="AM97" i="105" s="1"/>
  <c r="AM249" i="41"/>
  <c r="AM274" i="41"/>
  <c r="AM251" i="41"/>
  <c r="AM273" i="41"/>
  <c r="AM403" i="41"/>
  <c r="AM412" i="41" s="1"/>
  <c r="AM32" i="65" s="1"/>
  <c r="AM110" i="65" s="1"/>
  <c r="AM121" i="65" s="1"/>
  <c r="AM150" i="65" s="1"/>
  <c r="AM55" i="105" s="1"/>
  <c r="AM95" i="105" s="1"/>
  <c r="AI268" i="41"/>
  <c r="AM250" i="41"/>
  <c r="AM272" i="41"/>
  <c r="AI250" i="41"/>
  <c r="AO405" i="41"/>
  <c r="AO414" i="41" s="1"/>
  <c r="AO34" i="65" s="1"/>
  <c r="AO112" i="65" s="1"/>
  <c r="AO123" i="65" s="1"/>
  <c r="AO152" i="65" s="1"/>
  <c r="AO57" i="105" s="1"/>
  <c r="AO97" i="105" s="1"/>
  <c r="AI249" i="41"/>
  <c r="AI405" i="41"/>
  <c r="AI414" i="41" s="1"/>
  <c r="AI34" i="65" s="1"/>
  <c r="AI112" i="65" s="1"/>
  <c r="AI34" i="82" s="1"/>
  <c r="AI251" i="41"/>
  <c r="AI273" i="41"/>
  <c r="AI267" i="41"/>
  <c r="AI272" i="41"/>
  <c r="AI274" i="41"/>
  <c r="AO273" i="41"/>
  <c r="AO251" i="41"/>
  <c r="AK250" i="41"/>
  <c r="AK269" i="41"/>
  <c r="AK274" i="41"/>
  <c r="AK249" i="41"/>
  <c r="AK405" i="41"/>
  <c r="AK414" i="41" s="1"/>
  <c r="AK34" i="65" s="1"/>
  <c r="AK112" i="65" s="1"/>
  <c r="AK123" i="65" s="1"/>
  <c r="AK152" i="65" s="1"/>
  <c r="AK57" i="105" s="1"/>
  <c r="AK97" i="105" s="1"/>
  <c r="AK251" i="41"/>
  <c r="AK273" i="41"/>
  <c r="AK268" i="41"/>
  <c r="AK267" i="41"/>
  <c r="AK404" i="41"/>
  <c r="AK413" i="41" s="1"/>
  <c r="AK33" i="65" s="1"/>
  <c r="AK111" i="65" s="1"/>
  <c r="AK122" i="65" s="1"/>
  <c r="AK151" i="65" s="1"/>
  <c r="AK56" i="105" s="1"/>
  <c r="AK96" i="105" s="1"/>
  <c r="AK272" i="41"/>
  <c r="AO250" i="41"/>
  <c r="AO403" i="41"/>
  <c r="AO412" i="41" s="1"/>
  <c r="AO32" i="65" s="1"/>
  <c r="AO110" i="65" s="1"/>
  <c r="AO121" i="65" s="1"/>
  <c r="AO150" i="65" s="1"/>
  <c r="AO55" i="105" s="1"/>
  <c r="AO95" i="105" s="1"/>
  <c r="AO274" i="41"/>
  <c r="AO404" i="41"/>
  <c r="AO413" i="41" s="1"/>
  <c r="AO33" i="65" s="1"/>
  <c r="AO111" i="65" s="1"/>
  <c r="AO122" i="65" s="1"/>
  <c r="AO151" i="65" s="1"/>
  <c r="AO56" i="105" s="1"/>
  <c r="AO96" i="105" s="1"/>
  <c r="AO272" i="41"/>
  <c r="AO249" i="41"/>
  <c r="AO268" i="41"/>
  <c r="AJ108" i="105"/>
  <c r="AN405" i="41"/>
  <c r="AN414" i="41" s="1"/>
  <c r="AN34" i="65" s="1"/>
  <c r="AN112" i="65" s="1"/>
  <c r="AN141" i="65" s="1"/>
  <c r="AN170" i="65" s="1"/>
  <c r="AN75" i="105" s="1"/>
  <c r="AN251" i="41"/>
  <c r="AN267" i="41"/>
  <c r="AN274" i="41"/>
  <c r="AN268" i="41"/>
  <c r="AN403" i="41"/>
  <c r="AN412" i="41" s="1"/>
  <c r="AN32" i="65" s="1"/>
  <c r="AN110" i="65" s="1"/>
  <c r="AL32" i="82" s="1"/>
  <c r="AN404" i="41"/>
  <c r="AN413" i="41" s="1"/>
  <c r="AN33" i="65" s="1"/>
  <c r="AN111" i="65" s="1"/>
  <c r="AL33" i="82" s="1"/>
  <c r="AN250" i="41"/>
  <c r="AN273" i="41"/>
  <c r="AN269" i="41"/>
  <c r="AN272" i="41"/>
  <c r="AJ118" i="105"/>
  <c r="L33" i="82"/>
  <c r="L140" i="65"/>
  <c r="L169" i="65" s="1"/>
  <c r="L74" i="105" s="1"/>
  <c r="L116" i="105" s="1"/>
  <c r="L122" i="65"/>
  <c r="L151" i="65" s="1"/>
  <c r="L56" i="105" s="1"/>
  <c r="L96" i="105" s="1"/>
  <c r="L131" i="65"/>
  <c r="L160" i="65" s="1"/>
  <c r="L65" i="105" s="1"/>
  <c r="L106" i="105" s="1"/>
  <c r="AK33" i="82"/>
  <c r="AL140" i="65"/>
  <c r="AL169" i="65" s="1"/>
  <c r="AL74" i="105" s="1"/>
  <c r="AL122" i="65"/>
  <c r="AL151" i="65" s="1"/>
  <c r="AL56" i="105" s="1"/>
  <c r="AL96" i="105" s="1"/>
  <c r="AB123" i="65"/>
  <c r="AB152" i="65" s="1"/>
  <c r="AB57" i="105" s="1"/>
  <c r="AB97" i="105" s="1"/>
  <c r="AB141" i="65"/>
  <c r="AB170" i="65" s="1"/>
  <c r="AB75" i="105" s="1"/>
  <c r="AB117" i="105" s="1"/>
  <c r="AB34" i="82"/>
  <c r="AI33" i="82"/>
  <c r="AI122" i="65"/>
  <c r="AI151" i="65" s="1"/>
  <c r="AI56" i="105" s="1"/>
  <c r="AI96" i="105" s="1"/>
  <c r="AI140" i="65"/>
  <c r="AI169" i="65" s="1"/>
  <c r="AI74" i="105" s="1"/>
  <c r="AJ32" i="82"/>
  <c r="AJ130" i="65"/>
  <c r="AJ159" i="65" s="1"/>
  <c r="AJ64" i="105" s="1"/>
  <c r="AJ139" i="65"/>
  <c r="AJ168" i="65" s="1"/>
  <c r="AJ73" i="105" s="1"/>
  <c r="AJ121" i="65"/>
  <c r="AJ150" i="65" s="1"/>
  <c r="AJ55" i="105" s="1"/>
  <c r="AJ95" i="105" s="1"/>
  <c r="L130" i="65"/>
  <c r="L159" i="65" s="1"/>
  <c r="L64" i="105" s="1"/>
  <c r="L105" i="105" s="1"/>
  <c r="L121" i="65"/>
  <c r="L150" i="65" s="1"/>
  <c r="L55" i="105" s="1"/>
  <c r="L95" i="105" s="1"/>
  <c r="L139" i="65"/>
  <c r="L168" i="65" s="1"/>
  <c r="L73" i="105" s="1"/>
  <c r="L115" i="105" s="1"/>
  <c r="L32" i="82"/>
  <c r="AG196" i="105"/>
  <c r="AG118" i="105"/>
  <c r="R33" i="82"/>
  <c r="R131" i="65"/>
  <c r="R160" i="65" s="1"/>
  <c r="R65" i="105" s="1"/>
  <c r="R106" i="105" s="1"/>
  <c r="R122" i="65"/>
  <c r="R151" i="65" s="1"/>
  <c r="R56" i="105" s="1"/>
  <c r="R96" i="105" s="1"/>
  <c r="R140" i="65"/>
  <c r="R169" i="65" s="1"/>
  <c r="R74" i="105" s="1"/>
  <c r="R116" i="105" s="1"/>
  <c r="R139" i="65"/>
  <c r="R168" i="65" s="1"/>
  <c r="R73" i="105" s="1"/>
  <c r="R115" i="105" s="1"/>
  <c r="R130" i="65"/>
  <c r="R159" i="65" s="1"/>
  <c r="R64" i="105" s="1"/>
  <c r="R105" i="105" s="1"/>
  <c r="R32" i="82"/>
  <c r="R121" i="65"/>
  <c r="R150" i="65" s="1"/>
  <c r="R55" i="105" s="1"/>
  <c r="R95" i="105" s="1"/>
  <c r="AJ34" i="82"/>
  <c r="AJ132" i="65"/>
  <c r="AJ161" i="65" s="1"/>
  <c r="AJ66" i="105" s="1"/>
  <c r="AJ123" i="65"/>
  <c r="AJ152" i="65" s="1"/>
  <c r="AJ57" i="105" s="1"/>
  <c r="AJ97" i="105" s="1"/>
  <c r="AJ141" i="65"/>
  <c r="AJ170" i="65" s="1"/>
  <c r="AJ75" i="105" s="1"/>
  <c r="AG185" i="105"/>
  <c r="AG108" i="105"/>
  <c r="Q34" i="82"/>
  <c r="Q132" i="65"/>
  <c r="Q161" i="65" s="1"/>
  <c r="Q66" i="105" s="1"/>
  <c r="Q141" i="65"/>
  <c r="Q170" i="65" s="1"/>
  <c r="Q75" i="105" s="1"/>
  <c r="Q123" i="65"/>
  <c r="Q152" i="65" s="1"/>
  <c r="Q57" i="105" s="1"/>
  <c r="Q97" i="105" s="1"/>
  <c r="AI32" i="82"/>
  <c r="AI139" i="65"/>
  <c r="AI168" i="65" s="1"/>
  <c r="AI73" i="105" s="1"/>
  <c r="AI121" i="65"/>
  <c r="AI150" i="65" s="1"/>
  <c r="AI55" i="105" s="1"/>
  <c r="AI95" i="105" s="1"/>
  <c r="AG274" i="41"/>
  <c r="AG279" i="41" s="1"/>
  <c r="AG284" i="41" s="1"/>
  <c r="AG362" i="41" s="1"/>
  <c r="AG364" i="41" s="1"/>
  <c r="AG366" i="41" s="1"/>
  <c r="AG368" i="41" s="1"/>
  <c r="AG393" i="41" s="1"/>
  <c r="AG273" i="41"/>
  <c r="AG278" i="41" s="1"/>
  <c r="AG283" i="41" s="1"/>
  <c r="AG405" i="41"/>
  <c r="AG250" i="41"/>
  <c r="AG249" i="41"/>
  <c r="AG267" i="41"/>
  <c r="AG272" i="41"/>
  <c r="AG277" i="41" s="1"/>
  <c r="AG282" i="41" s="1"/>
  <c r="AG251" i="41"/>
  <c r="AG268" i="41"/>
  <c r="AG404" i="41"/>
  <c r="AG269" i="41"/>
  <c r="AG403" i="41"/>
  <c r="AK32" i="82"/>
  <c r="AL121" i="65"/>
  <c r="AL150" i="65" s="1"/>
  <c r="AL55" i="105" s="1"/>
  <c r="AL95" i="105" s="1"/>
  <c r="AL139" i="65"/>
  <c r="AL168" i="65" s="1"/>
  <c r="AL73" i="105" s="1"/>
  <c r="AH34" i="82"/>
  <c r="AH123" i="65"/>
  <c r="AH152" i="65" s="1"/>
  <c r="AH57" i="105" s="1"/>
  <c r="AH97" i="105" s="1"/>
  <c r="AH132" i="65"/>
  <c r="AH161" i="65" s="1"/>
  <c r="AH66" i="105" s="1"/>
  <c r="AH141" i="65"/>
  <c r="AH170" i="65" s="1"/>
  <c r="AH75" i="105" s="1"/>
  <c r="W34" i="82"/>
  <c r="W141" i="65"/>
  <c r="W170" i="65" s="1"/>
  <c r="W75" i="105" s="1"/>
  <c r="W117" i="105" s="1"/>
  <c r="W123" i="65"/>
  <c r="W152" i="65" s="1"/>
  <c r="W57" i="105" s="1"/>
  <c r="W97" i="105" s="1"/>
  <c r="R34" i="82"/>
  <c r="R132" i="65"/>
  <c r="R161" i="65" s="1"/>
  <c r="R66" i="105" s="1"/>
  <c r="R107" i="105" s="1"/>
  <c r="R123" i="65"/>
  <c r="R152" i="65" s="1"/>
  <c r="R57" i="105" s="1"/>
  <c r="R97" i="105" s="1"/>
  <c r="R141" i="65"/>
  <c r="R170" i="65" s="1"/>
  <c r="R75" i="105" s="1"/>
  <c r="R117" i="105" s="1"/>
  <c r="AK34" i="82"/>
  <c r="AL123" i="65"/>
  <c r="AL152" i="65" s="1"/>
  <c r="AL57" i="105" s="1"/>
  <c r="AL97" i="105" s="1"/>
  <c r="AL141" i="65"/>
  <c r="AL170" i="65" s="1"/>
  <c r="AL75" i="105" s="1"/>
  <c r="AB32" i="82"/>
  <c r="AB139" i="65"/>
  <c r="AB168" i="65" s="1"/>
  <c r="AB73" i="105" s="1"/>
  <c r="AB115" i="105" s="1"/>
  <c r="AB121" i="65"/>
  <c r="AB150" i="65" s="1"/>
  <c r="AB55" i="105" s="1"/>
  <c r="AB95" i="105" s="1"/>
  <c r="W33" i="82"/>
  <c r="W140" i="65"/>
  <c r="W169" i="65" s="1"/>
  <c r="W74" i="105" s="1"/>
  <c r="W116" i="105" s="1"/>
  <c r="W122" i="65"/>
  <c r="W151" i="65" s="1"/>
  <c r="W56" i="105" s="1"/>
  <c r="W96" i="105" s="1"/>
  <c r="W139" i="65"/>
  <c r="W168" i="65" s="1"/>
  <c r="W73" i="105" s="1"/>
  <c r="W115" i="105" s="1"/>
  <c r="W121" i="65"/>
  <c r="W150" i="65" s="1"/>
  <c r="W55" i="105" s="1"/>
  <c r="W95" i="105" s="1"/>
  <c r="W32" i="82"/>
  <c r="Q33" i="82"/>
  <c r="Q131" i="65"/>
  <c r="Q160" i="65" s="1"/>
  <c r="Q65" i="105" s="1"/>
  <c r="Q122" i="65"/>
  <c r="Q151" i="65" s="1"/>
  <c r="Q56" i="105" s="1"/>
  <c r="Q96" i="105" s="1"/>
  <c r="Q140" i="65"/>
  <c r="Q169" i="65" s="1"/>
  <c r="Q74" i="105" s="1"/>
  <c r="AH32" i="82"/>
  <c r="AH130" i="65"/>
  <c r="AH159" i="65" s="1"/>
  <c r="AH64" i="105" s="1"/>
  <c r="AH121" i="65"/>
  <c r="AH150" i="65" s="1"/>
  <c r="AH55" i="105" s="1"/>
  <c r="AH95" i="105" s="1"/>
  <c r="AH139" i="65"/>
  <c r="AH168" i="65" s="1"/>
  <c r="AH73" i="105" s="1"/>
  <c r="AH33" i="82"/>
  <c r="AH122" i="65"/>
  <c r="AH151" i="65" s="1"/>
  <c r="AH56" i="105" s="1"/>
  <c r="AH96" i="105" s="1"/>
  <c r="AH140" i="65"/>
  <c r="AH169" i="65" s="1"/>
  <c r="AH74" i="105" s="1"/>
  <c r="AH131" i="65"/>
  <c r="AH160" i="65" s="1"/>
  <c r="AH65" i="105" s="1"/>
  <c r="AJ33" i="82"/>
  <c r="AJ131" i="65"/>
  <c r="AJ160" i="65" s="1"/>
  <c r="AJ65" i="105" s="1"/>
  <c r="AJ122" i="65"/>
  <c r="AJ151" i="65" s="1"/>
  <c r="AJ56" i="105" s="1"/>
  <c r="AJ96" i="105" s="1"/>
  <c r="AJ140" i="65"/>
  <c r="AJ169" i="65" s="1"/>
  <c r="AJ74" i="105" s="1"/>
  <c r="AB33" i="82"/>
  <c r="AB122" i="65"/>
  <c r="AB151" i="65" s="1"/>
  <c r="AB56" i="105" s="1"/>
  <c r="AB96" i="105" s="1"/>
  <c r="AB140" i="65"/>
  <c r="AB169" i="65" s="1"/>
  <c r="AB74" i="105" s="1"/>
  <c r="AB116" i="105" s="1"/>
  <c r="L123" i="65"/>
  <c r="L152" i="65" s="1"/>
  <c r="L57" i="105" s="1"/>
  <c r="L97" i="105" s="1"/>
  <c r="L34" i="82"/>
  <c r="L141" i="65"/>
  <c r="L170" i="65" s="1"/>
  <c r="L75" i="105" s="1"/>
  <c r="L117" i="105" s="1"/>
  <c r="L132" i="65"/>
  <c r="L161" i="65" s="1"/>
  <c r="L66" i="105" s="1"/>
  <c r="L107" i="105" s="1"/>
  <c r="Q32" i="82"/>
  <c r="Q139" i="65"/>
  <c r="Q168" i="65" s="1"/>
  <c r="Q73" i="105" s="1"/>
  <c r="Q121" i="65"/>
  <c r="Q150" i="65" s="1"/>
  <c r="Q55" i="105" s="1"/>
  <c r="Q95" i="105" s="1"/>
  <c r="Q130" i="65"/>
  <c r="Q159" i="65" s="1"/>
  <c r="Q64" i="105" s="1"/>
  <c r="AM102" i="105" l="1"/>
  <c r="AI141" i="65"/>
  <c r="AI170" i="65" s="1"/>
  <c r="AI75" i="105" s="1"/>
  <c r="AI123" i="65"/>
  <c r="AI152" i="65" s="1"/>
  <c r="AI57" i="105" s="1"/>
  <c r="AI97" i="105" s="1"/>
  <c r="AN277" i="41"/>
  <c r="AN282" i="41" s="1"/>
  <c r="AB279" i="41"/>
  <c r="AB284" i="41" s="1"/>
  <c r="AB362" i="41" s="1"/>
  <c r="K277" i="41"/>
  <c r="K282" i="41" s="1"/>
  <c r="AI277" i="41"/>
  <c r="AI282" i="41" s="1"/>
  <c r="AJ279" i="41"/>
  <c r="AJ284" i="41" s="1"/>
  <c r="AJ362" i="41" s="1"/>
  <c r="AM279" i="41"/>
  <c r="AM284" i="41" s="1"/>
  <c r="AM362" i="41" s="1"/>
  <c r="AH279" i="41"/>
  <c r="AH284" i="41" s="1"/>
  <c r="AH362" i="41" s="1"/>
  <c r="R279" i="41"/>
  <c r="R284" i="41" s="1"/>
  <c r="R362" i="41" s="1"/>
  <c r="AK278" i="41"/>
  <c r="AK283" i="41" s="1"/>
  <c r="AK279" i="41"/>
  <c r="AK284" i="41" s="1"/>
  <c r="AK362" i="41" s="1"/>
  <c r="AK102" i="105"/>
  <c r="R278" i="41"/>
  <c r="R283" i="41" s="1"/>
  <c r="AB278" i="41"/>
  <c r="AB283" i="41" s="1"/>
  <c r="AN123" i="65"/>
  <c r="AN152" i="65" s="1"/>
  <c r="AN57" i="105" s="1"/>
  <c r="AN97" i="105" s="1"/>
  <c r="W278" i="41"/>
  <c r="W283" i="41" s="1"/>
  <c r="AL34" i="82"/>
  <c r="Q277" i="41"/>
  <c r="Q282" i="41" s="1"/>
  <c r="AO102" i="105"/>
  <c r="L279" i="41"/>
  <c r="L284" i="41" s="1"/>
  <c r="L362" i="41" s="1"/>
  <c r="W279" i="41"/>
  <c r="W284" i="41" s="1"/>
  <c r="W362" i="41" s="1"/>
  <c r="K279" i="41"/>
  <c r="K284" i="41" s="1"/>
  <c r="K362" i="41" s="1"/>
  <c r="Q279" i="41"/>
  <c r="Q284" i="41" s="1"/>
  <c r="Q362" i="41" s="1"/>
  <c r="AI279" i="41"/>
  <c r="AI284" i="41" s="1"/>
  <c r="AI362" i="41" s="1"/>
  <c r="AL279" i="41"/>
  <c r="AL284" i="41" s="1"/>
  <c r="AL362" i="41" s="1"/>
  <c r="AO279" i="41"/>
  <c r="AO284" i="41" s="1"/>
  <c r="AO362" i="41" s="1"/>
  <c r="AN279" i="41"/>
  <c r="AN284" i="41" s="1"/>
  <c r="AN362" i="41" s="1"/>
  <c r="AN139" i="65"/>
  <c r="AN168" i="65" s="1"/>
  <c r="AN73" i="105" s="1"/>
  <c r="AN193" i="105" s="1"/>
  <c r="AN121" i="65"/>
  <c r="AN150" i="65" s="1"/>
  <c r="AN55" i="105" s="1"/>
  <c r="AN95" i="105" s="1"/>
  <c r="AO277" i="41"/>
  <c r="AO282" i="41" s="1"/>
  <c r="AB277" i="41"/>
  <c r="AB282" i="41" s="1"/>
  <c r="AJ277" i="41"/>
  <c r="AJ282" i="41" s="1"/>
  <c r="W277" i="41"/>
  <c r="W282" i="41" s="1"/>
  <c r="AM277" i="41"/>
  <c r="AM282" i="41" s="1"/>
  <c r="R277" i="41"/>
  <c r="R282" i="41" s="1"/>
  <c r="L277" i="41"/>
  <c r="L282" i="41" s="1"/>
  <c r="AH277" i="41"/>
  <c r="AH282" i="41" s="1"/>
  <c r="AL277" i="41"/>
  <c r="AL282" i="41" s="1"/>
  <c r="AK277" i="41"/>
  <c r="AK282" i="41" s="1"/>
  <c r="AN140" i="65"/>
  <c r="AN169" i="65" s="1"/>
  <c r="AN74" i="105" s="1"/>
  <c r="AN116" i="105" s="1"/>
  <c r="AN122" i="65"/>
  <c r="AN151" i="65" s="1"/>
  <c r="AN56" i="105" s="1"/>
  <c r="AN96" i="105" s="1"/>
  <c r="AO278" i="41"/>
  <c r="AO283" i="41" s="1"/>
  <c r="AN278" i="41"/>
  <c r="AN283" i="41" s="1"/>
  <c r="L278" i="41"/>
  <c r="L283" i="41" s="1"/>
  <c r="AM278" i="41"/>
  <c r="AM283" i="41" s="1"/>
  <c r="AL278" i="41"/>
  <c r="AL283" i="41" s="1"/>
  <c r="AI278" i="41"/>
  <c r="AI283" i="41" s="1"/>
  <c r="K278" i="41"/>
  <c r="K283" i="41" s="1"/>
  <c r="Q278" i="41"/>
  <c r="Q283" i="41" s="1"/>
  <c r="AJ278" i="41"/>
  <c r="AJ283" i="41" s="1"/>
  <c r="AH278" i="41"/>
  <c r="AH283" i="41" s="1"/>
  <c r="AI102" i="105"/>
  <c r="AI174" i="105" s="1"/>
  <c r="AI65" i="82" s="1"/>
  <c r="AJ102" i="105"/>
  <c r="AJ140" i="105" s="1"/>
  <c r="L112" i="105"/>
  <c r="AG330" i="41"/>
  <c r="AG332" i="41" s="1"/>
  <c r="AG334" i="41" s="1"/>
  <c r="AG336" i="41" s="1"/>
  <c r="AG392" i="41" s="1"/>
  <c r="AG298" i="41"/>
  <c r="AG304" i="41" s="1"/>
  <c r="AG391" i="41" s="1"/>
  <c r="AL102" i="105"/>
  <c r="AL146" i="105" s="1"/>
  <c r="AK63" i="82" s="1"/>
  <c r="AH102" i="105"/>
  <c r="AH146" i="105" s="1"/>
  <c r="AH63" i="82" s="1"/>
  <c r="L102" i="105"/>
  <c r="R112" i="105"/>
  <c r="R122" i="105"/>
  <c r="W102" i="105"/>
  <c r="AB122" i="105"/>
  <c r="W122" i="105"/>
  <c r="Q102" i="105"/>
  <c r="Q174" i="105" s="1"/>
  <c r="Q65" i="82" s="1"/>
  <c r="Q194" i="105"/>
  <c r="Q116" i="105"/>
  <c r="AL195" i="105"/>
  <c r="AL117" i="105"/>
  <c r="Q195" i="105"/>
  <c r="Q117" i="105"/>
  <c r="AB102" i="105"/>
  <c r="AB65" i="82" s="1"/>
  <c r="AH195" i="105"/>
  <c r="AH117" i="105"/>
  <c r="Q184" i="105"/>
  <c r="Q107" i="105"/>
  <c r="AJ193" i="105"/>
  <c r="AJ115" i="105"/>
  <c r="AH194" i="105"/>
  <c r="AH116" i="105"/>
  <c r="Q182" i="105"/>
  <c r="Q105" i="105"/>
  <c r="AJ194" i="105"/>
  <c r="AJ116" i="105"/>
  <c r="AH193" i="105"/>
  <c r="AH115" i="105"/>
  <c r="AH184" i="105"/>
  <c r="AH107" i="105"/>
  <c r="AJ182" i="105"/>
  <c r="AJ105" i="105"/>
  <c r="Q183" i="105"/>
  <c r="Q106" i="105"/>
  <c r="AN195" i="105"/>
  <c r="AN117" i="105"/>
  <c r="Q193" i="105"/>
  <c r="Q115" i="105"/>
  <c r="L122" i="105"/>
  <c r="AJ183" i="105"/>
  <c r="AJ106" i="105"/>
  <c r="AH182" i="105"/>
  <c r="AH105" i="105"/>
  <c r="AJ195" i="105"/>
  <c r="AJ117" i="105"/>
  <c r="AI195" i="105"/>
  <c r="AI117" i="105"/>
  <c r="AI194" i="105"/>
  <c r="AI116" i="105"/>
  <c r="AL193" i="105"/>
  <c r="AL115" i="105"/>
  <c r="AI193" i="105"/>
  <c r="AI115" i="105"/>
  <c r="AL194" i="105"/>
  <c r="AL116" i="105"/>
  <c r="AH183" i="105"/>
  <c r="AH106" i="105"/>
  <c r="AJ184" i="105"/>
  <c r="AJ107" i="105"/>
  <c r="R102" i="105"/>
  <c r="R65" i="82" s="1"/>
  <c r="AN298" i="41" l="1"/>
  <c r="AN304" i="41" s="1"/>
  <c r="AN391" i="41" s="1"/>
  <c r="AN395" i="41" s="1"/>
  <c r="AN194" i="105"/>
  <c r="AB298" i="41"/>
  <c r="AB304" i="41" s="1"/>
  <c r="AB391" i="41" s="1"/>
  <c r="AB395" i="41" s="1"/>
  <c r="AB330" i="41"/>
  <c r="AJ330" i="41"/>
  <c r="L330" i="41"/>
  <c r="AM330" i="41"/>
  <c r="AK330" i="41"/>
  <c r="R330" i="41"/>
  <c r="AH330" i="41"/>
  <c r="R298" i="41"/>
  <c r="R304" i="41" s="1"/>
  <c r="R391" i="41" s="1"/>
  <c r="R395" i="41" s="1"/>
  <c r="K330" i="41"/>
  <c r="AK298" i="41"/>
  <c r="AK304" i="41" s="1"/>
  <c r="AK391" i="41" s="1"/>
  <c r="AK395" i="41" s="1"/>
  <c r="AN115" i="105"/>
  <c r="AN122" i="105" s="1"/>
  <c r="AN148" i="105" s="1"/>
  <c r="Q298" i="41"/>
  <c r="Q304" i="41" s="1"/>
  <c r="Q391" i="41" s="1"/>
  <c r="Q395" i="41" s="1"/>
  <c r="W330" i="41"/>
  <c r="AN102" i="105"/>
  <c r="AN174" i="105" s="1"/>
  <c r="AL65" i="82" s="1"/>
  <c r="W298" i="41"/>
  <c r="W304" i="41" s="1"/>
  <c r="W391" i="41" s="1"/>
  <c r="W395" i="41" s="1"/>
  <c r="R364" i="41"/>
  <c r="R366" i="41" s="1"/>
  <c r="R368" i="41" s="1"/>
  <c r="R393" i="41" s="1"/>
  <c r="L298" i="41"/>
  <c r="L304" i="41" s="1"/>
  <c r="L391" i="41" s="1"/>
  <c r="L395" i="41" s="1"/>
  <c r="AI330" i="41"/>
  <c r="Q364" i="41"/>
  <c r="Q366" i="41" s="1"/>
  <c r="Q368" i="41" s="1"/>
  <c r="Q393" i="41" s="1"/>
  <c r="AO298" i="41"/>
  <c r="AO304" i="41" s="1"/>
  <c r="AO391" i="41" s="1"/>
  <c r="AO395" i="41" s="1"/>
  <c r="AB364" i="41"/>
  <c r="AB366" i="41" s="1"/>
  <c r="AB368" i="41" s="1"/>
  <c r="AB393" i="41" s="1"/>
  <c r="L364" i="41"/>
  <c r="L366" i="41" s="1"/>
  <c r="L368" i="41" s="1"/>
  <c r="L393" i="41" s="1"/>
  <c r="AH364" i="41"/>
  <c r="AH366" i="41" s="1"/>
  <c r="AH368" i="41" s="1"/>
  <c r="AH393" i="41" s="1"/>
  <c r="AN364" i="41"/>
  <c r="AN366" i="41" s="1"/>
  <c r="AN368" i="41" s="1"/>
  <c r="AN393" i="41" s="1"/>
  <c r="AL364" i="41"/>
  <c r="AL366" i="41" s="1"/>
  <c r="AL368" i="41" s="1"/>
  <c r="AL393" i="41" s="1"/>
  <c r="AK364" i="41"/>
  <c r="AK366" i="41" s="1"/>
  <c r="AK368" i="41" s="1"/>
  <c r="AK393" i="41" s="1"/>
  <c r="AM364" i="41"/>
  <c r="AM366" i="41" s="1"/>
  <c r="AM368" i="41" s="1"/>
  <c r="AM393" i="41" s="1"/>
  <c r="AI364" i="41"/>
  <c r="AI366" i="41" s="1"/>
  <c r="AI368" i="41" s="1"/>
  <c r="AI393" i="41" s="1"/>
  <c r="W364" i="41"/>
  <c r="W366" i="41" s="1"/>
  <c r="W368" i="41" s="1"/>
  <c r="W393" i="41" s="1"/>
  <c r="AL330" i="41"/>
  <c r="K364" i="41"/>
  <c r="K366" i="41" s="1"/>
  <c r="K368" i="41" s="1"/>
  <c r="K393" i="41" s="1"/>
  <c r="AJ364" i="41"/>
  <c r="AJ366" i="41" s="1"/>
  <c r="AJ368" i="41" s="1"/>
  <c r="AJ393" i="41" s="1"/>
  <c r="AO364" i="41"/>
  <c r="AO366" i="41" s="1"/>
  <c r="AO368" i="41" s="1"/>
  <c r="AO393" i="41" s="1"/>
  <c r="AO330" i="41"/>
  <c r="AN330" i="41"/>
  <c r="AH298" i="41"/>
  <c r="AH304" i="41" s="1"/>
  <c r="AH391" i="41" s="1"/>
  <c r="AH395" i="41" s="1"/>
  <c r="AL140" i="105"/>
  <c r="AK62" i="82" s="1"/>
  <c r="K298" i="41"/>
  <c r="K304" i="41" s="1"/>
  <c r="K391" i="41" s="1"/>
  <c r="K395" i="41" s="1"/>
  <c r="AL298" i="41"/>
  <c r="AL304" i="41" s="1"/>
  <c r="AL391" i="41" s="1"/>
  <c r="AL395" i="41" s="1"/>
  <c r="AJ298" i="41"/>
  <c r="AJ304" i="41" s="1"/>
  <c r="AJ391" i="41" s="1"/>
  <c r="AJ395" i="41" s="1"/>
  <c r="AM298" i="41"/>
  <c r="AM304" i="41" s="1"/>
  <c r="AM391" i="41" s="1"/>
  <c r="AM395" i="41" s="1"/>
  <c r="AI298" i="41"/>
  <c r="AI304" i="41" s="1"/>
  <c r="AI391" i="41" s="1"/>
  <c r="AI395" i="41" s="1"/>
  <c r="Q330" i="41"/>
  <c r="AH174" i="105"/>
  <c r="AH65" i="82" s="1"/>
  <c r="AI122" i="105"/>
  <c r="AJ146" i="105"/>
  <c r="AJ63" i="82" s="1"/>
  <c r="AJ174" i="105"/>
  <c r="AJ65" i="82" s="1"/>
  <c r="AL174" i="105"/>
  <c r="AK65" i="82" s="1"/>
  <c r="AH122" i="105"/>
  <c r="AH148" i="105" s="1"/>
  <c r="AN200" i="105"/>
  <c r="AG300" i="41"/>
  <c r="AG302" i="41" s="1"/>
  <c r="AL122" i="105"/>
  <c r="AL200" i="105"/>
  <c r="AH112" i="105"/>
  <c r="AH147" i="105" s="1"/>
  <c r="AJ122" i="105"/>
  <c r="AJ148" i="105" s="1"/>
  <c r="AJ189" i="105"/>
  <c r="AJ206" i="105" s="1"/>
  <c r="AJ73" i="82" s="1"/>
  <c r="AJ200" i="105"/>
  <c r="AJ207" i="105" s="1"/>
  <c r="AJ74" i="82" s="1"/>
  <c r="AJ112" i="105"/>
  <c r="Q146" i="105"/>
  <c r="Q63" i="82" s="1"/>
  <c r="Q200" i="105"/>
  <c r="AI200" i="105"/>
  <c r="AJ62" i="82"/>
  <c r="Q112" i="105"/>
  <c r="Q189" i="105"/>
  <c r="AH200" i="105"/>
  <c r="Q122" i="105"/>
  <c r="AH189" i="105"/>
  <c r="AN140" i="105" l="1"/>
  <c r="AL62" i="82" s="1"/>
  <c r="AN146" i="105"/>
  <c r="AL63" i="82" s="1"/>
  <c r="AL207" i="105"/>
  <c r="AK74" i="82" s="1"/>
  <c r="AJ332" i="41"/>
  <c r="AJ334" i="41" s="1"/>
  <c r="AJ336" i="41" s="1"/>
  <c r="AJ392" i="41" s="1"/>
  <c r="AB332" i="41"/>
  <c r="AB334" i="41" s="1"/>
  <c r="AB336" i="41" s="1"/>
  <c r="AB392" i="41" s="1"/>
  <c r="AI332" i="41"/>
  <c r="AI334" i="41" s="1"/>
  <c r="AI336" i="41" s="1"/>
  <c r="AI392" i="41" s="1"/>
  <c r="W332" i="41"/>
  <c r="W334" i="41" s="1"/>
  <c r="W336" i="41" s="1"/>
  <c r="W392" i="41" s="1"/>
  <c r="AH332" i="41"/>
  <c r="AH334" i="41" s="1"/>
  <c r="AH336" i="41" s="1"/>
  <c r="AH392" i="41" s="1"/>
  <c r="L332" i="41"/>
  <c r="L334" i="41" s="1"/>
  <c r="L336" i="41" s="1"/>
  <c r="L392" i="41" s="1"/>
  <c r="R332" i="41"/>
  <c r="R334" i="41" s="1"/>
  <c r="R336" i="41" s="1"/>
  <c r="R392" i="41" s="1"/>
  <c r="AO332" i="41"/>
  <c r="AO334" i="41" s="1"/>
  <c r="AO336" i="41" s="1"/>
  <c r="AO392" i="41" s="1"/>
  <c r="AH300" i="41"/>
  <c r="AH302" i="41" s="1"/>
  <c r="K332" i="41"/>
  <c r="K334" i="41" s="1"/>
  <c r="K336" i="41" s="1"/>
  <c r="K392" i="41" s="1"/>
  <c r="AK332" i="41"/>
  <c r="AK334" i="41" s="1"/>
  <c r="AK336" i="41" s="1"/>
  <c r="AK392" i="41" s="1"/>
  <c r="AM332" i="41"/>
  <c r="AM334" i="41" s="1"/>
  <c r="AM336" i="41" s="1"/>
  <c r="AM392" i="41" s="1"/>
  <c r="AL332" i="41"/>
  <c r="AL334" i="41" s="1"/>
  <c r="AL336" i="41" s="1"/>
  <c r="AL392" i="41" s="1"/>
  <c r="AN332" i="41"/>
  <c r="AN334" i="41" s="1"/>
  <c r="AN336" i="41" s="1"/>
  <c r="AN392" i="41" s="1"/>
  <c r="Q332" i="41"/>
  <c r="Q334" i="41" s="1"/>
  <c r="Q336" i="41" s="1"/>
  <c r="Q392" i="41" s="1"/>
  <c r="AB300" i="41"/>
  <c r="AB302" i="41" s="1"/>
  <c r="AI300" i="41"/>
  <c r="AI302" i="41" s="1"/>
  <c r="K300" i="41"/>
  <c r="K302" i="41" s="1"/>
  <c r="AN300" i="41"/>
  <c r="AN302" i="41" s="1"/>
  <c r="L300" i="41"/>
  <c r="L302" i="41" s="1"/>
  <c r="AK300" i="41"/>
  <c r="AK302" i="41" s="1"/>
  <c r="AJ300" i="41"/>
  <c r="AJ302" i="41" s="1"/>
  <c r="AL300" i="41"/>
  <c r="AL302" i="41" s="1"/>
  <c r="W300" i="41"/>
  <c r="W302" i="41" s="1"/>
  <c r="Q300" i="41"/>
  <c r="Q302" i="41" s="1"/>
  <c r="R300" i="41"/>
  <c r="R302" i="41" s="1"/>
  <c r="AM300" i="41"/>
  <c r="AM302" i="41" s="1"/>
  <c r="AO300" i="41"/>
  <c r="AO302" i="41" s="1"/>
  <c r="AN142" i="105"/>
  <c r="AJ142" i="105"/>
  <c r="AN207" i="105" l="1"/>
  <c r="AL74" i="82" s="1"/>
  <c r="H72" i="89"/>
  <c r="H80" i="89" l="1"/>
  <c r="H87" i="89" l="1"/>
  <c r="H61" i="41" s="1"/>
  <c r="H108" i="89" a="1"/>
  <c r="H108" i="89" s="1"/>
  <c r="H114" i="89" s="1"/>
  <c r="H83" i="105" l="1"/>
  <c r="H126" i="105" s="1"/>
  <c r="H67" i="41"/>
  <c r="H84" i="41" s="1"/>
  <c r="J37" i="55"/>
  <c r="A4" i="89"/>
  <c r="H88" i="105" l="1"/>
  <c r="H131" i="105" s="1"/>
  <c r="AA190" i="41"/>
  <c r="AA196" i="41" s="1"/>
  <c r="AA198" i="41" s="1"/>
  <c r="R190" i="41"/>
  <c r="AF190" i="41"/>
  <c r="AF196" i="41" s="1"/>
  <c r="AF198" i="41" s="1"/>
  <c r="T190" i="41"/>
  <c r="T196" i="41" s="1"/>
  <c r="T198" i="41" s="1"/>
  <c r="AG190" i="41"/>
  <c r="AG205" i="41" s="1"/>
  <c r="AG207" i="41" s="1"/>
  <c r="AD190" i="41"/>
  <c r="AD196" i="41" s="1"/>
  <c r="AD198" i="41" s="1"/>
  <c r="O190" i="41"/>
  <c r="O196" i="41" s="1"/>
  <c r="O198" i="41" s="1"/>
  <c r="AC190" i="41"/>
  <c r="AC196" i="41" s="1"/>
  <c r="AC198" i="41" s="1"/>
  <c r="AH190" i="41"/>
  <c r="AM190" i="41"/>
  <c r="AO190" i="41"/>
  <c r="S190" i="41"/>
  <c r="S196" i="41" s="1"/>
  <c r="S198" i="41" s="1"/>
  <c r="AJ190" i="41"/>
  <c r="V190" i="41"/>
  <c r="V196" i="41" s="1"/>
  <c r="V198" i="41" s="1"/>
  <c r="U190" i="41"/>
  <c r="U196" i="41" s="1"/>
  <c r="U198" i="41" s="1"/>
  <c r="AN190" i="41"/>
  <c r="N190" i="41"/>
  <c r="N196" i="41" s="1"/>
  <c r="N198" i="41" s="1"/>
  <c r="AK190" i="41"/>
  <c r="L190" i="41"/>
  <c r="K190" i="41"/>
  <c r="K207" i="41" s="1"/>
  <c r="AL190" i="41"/>
  <c r="AE190" i="41"/>
  <c r="AE196" i="41" s="1"/>
  <c r="AE198" i="41" s="1"/>
  <c r="X190" i="41"/>
  <c r="X196" i="41" s="1"/>
  <c r="X198" i="41" s="1"/>
  <c r="P190" i="41"/>
  <c r="P196" i="41" s="1"/>
  <c r="P198" i="41" s="1"/>
  <c r="M190" i="41"/>
  <c r="M196" i="41" s="1"/>
  <c r="M198" i="41" s="1"/>
  <c r="AB190" i="41"/>
  <c r="Z190" i="41"/>
  <c r="Z196" i="41" s="1"/>
  <c r="Z198" i="41" s="1"/>
  <c r="Q190" i="41"/>
  <c r="AI190" i="41"/>
  <c r="W190" i="41"/>
  <c r="J190" i="41"/>
  <c r="J196" i="41" s="1"/>
  <c r="J198" i="41" s="1"/>
  <c r="Y190" i="41"/>
  <c r="Y196" i="41" s="1"/>
  <c r="Y198" i="41" s="1"/>
  <c r="Y224" i="41" l="1"/>
  <c r="Y415" i="41" s="1"/>
  <c r="Y35" i="65" s="1"/>
  <c r="Y113" i="65" s="1"/>
  <c r="P224" i="41"/>
  <c r="P415" i="41" s="1"/>
  <c r="P35" i="65" s="1"/>
  <c r="P113" i="65" s="1"/>
  <c r="AC224" i="41"/>
  <c r="AC415" i="41" s="1"/>
  <c r="AC35" i="65" s="1"/>
  <c r="AC113" i="65" s="1"/>
  <c r="X224" i="41"/>
  <c r="X415" i="41" s="1"/>
  <c r="X35" i="65" s="1"/>
  <c r="X113" i="65" s="1"/>
  <c r="V224" i="41"/>
  <c r="V415" i="41" s="1"/>
  <c r="V35" i="65" s="1"/>
  <c r="V113" i="65" s="1"/>
  <c r="AD224" i="41"/>
  <c r="AD415" i="41" s="1"/>
  <c r="AD35" i="65" s="1"/>
  <c r="AD113" i="65" s="1"/>
  <c r="U224" i="41"/>
  <c r="U415" i="41" s="1"/>
  <c r="U35" i="65" s="1"/>
  <c r="U113" i="65" s="1"/>
  <c r="AE224" i="41"/>
  <c r="AE415" i="41" s="1"/>
  <c r="AE35" i="65" s="1"/>
  <c r="AE113" i="65" s="1"/>
  <c r="O224" i="41"/>
  <c r="O415" i="41" s="1"/>
  <c r="O35" i="65" s="1"/>
  <c r="O113" i="65" s="1"/>
  <c r="S224" i="41"/>
  <c r="S415" i="41" s="1"/>
  <c r="S35" i="65" s="1"/>
  <c r="S113" i="65" s="1"/>
  <c r="T224" i="41"/>
  <c r="T415" i="41" s="1"/>
  <c r="T35" i="65" s="1"/>
  <c r="T113" i="65" s="1"/>
  <c r="J224" i="41"/>
  <c r="J415" i="41" s="1"/>
  <c r="J35" i="65" s="1"/>
  <c r="J113" i="65" s="1"/>
  <c r="AF224" i="41"/>
  <c r="AF415" i="41" s="1"/>
  <c r="AF35" i="65" s="1"/>
  <c r="AF113" i="65" s="1"/>
  <c r="Z224" i="41"/>
  <c r="Z415" i="41" s="1"/>
  <c r="Z35" i="65" s="1"/>
  <c r="Z113" i="65" s="1"/>
  <c r="M224" i="41"/>
  <c r="M415" i="41" s="1"/>
  <c r="M35" i="65" s="1"/>
  <c r="M113" i="65" s="1"/>
  <c r="N224" i="41"/>
  <c r="N415" i="41" s="1"/>
  <c r="N35" i="65" s="1"/>
  <c r="N113" i="65" s="1"/>
  <c r="AA224" i="41"/>
  <c r="AA415" i="41" s="1"/>
  <c r="AA35" i="65" s="1"/>
  <c r="AA113" i="65" s="1"/>
  <c r="K412" i="41"/>
  <c r="K32" i="65" s="1"/>
  <c r="K110" i="65" s="1"/>
  <c r="K413" i="41"/>
  <c r="K33" i="65" s="1"/>
  <c r="K111" i="65" s="1"/>
  <c r="K414" i="41"/>
  <c r="K34" i="65" s="1"/>
  <c r="K112" i="65" s="1"/>
  <c r="AG414" i="41"/>
  <c r="AG34" i="65" s="1"/>
  <c r="AG112" i="65" s="1"/>
  <c r="AG412" i="41"/>
  <c r="AG32" i="65" s="1"/>
  <c r="AG110" i="65" s="1"/>
  <c r="AG413" i="41"/>
  <c r="AG33" i="65" s="1"/>
  <c r="AG111" i="65" s="1"/>
  <c r="Z226" i="41" l="1"/>
  <c r="Z228" i="41" s="1"/>
  <c r="AD226" i="41"/>
  <c r="AD228" i="41" s="1"/>
  <c r="N226" i="41"/>
  <c r="N228" i="41" s="1"/>
  <c r="S226" i="41"/>
  <c r="S228" i="41" s="1"/>
  <c r="S237" i="41" s="1"/>
  <c r="S250" i="41" s="1"/>
  <c r="S268" i="41" s="1"/>
  <c r="S273" i="41" s="1"/>
  <c r="X226" i="41"/>
  <c r="X228" i="41" s="1"/>
  <c r="AE226" i="41"/>
  <c r="AE228" i="41" s="1"/>
  <c r="P226" i="41"/>
  <c r="P228" i="41" s="1"/>
  <c r="J226" i="41"/>
  <c r="J228" i="41" s="1"/>
  <c r="N35" i="82"/>
  <c r="N124" i="65"/>
  <c r="N153" i="65" s="1"/>
  <c r="N58" i="105" s="1"/>
  <c r="N98" i="105" s="1"/>
  <c r="N142" i="65"/>
  <c r="N171" i="65" s="1"/>
  <c r="N76" i="105" s="1"/>
  <c r="N133" i="65"/>
  <c r="N162" i="65" s="1"/>
  <c r="N67" i="105" s="1"/>
  <c r="J142" i="65"/>
  <c r="J171" i="65" s="1"/>
  <c r="J76" i="105" s="1"/>
  <c r="J133" i="65"/>
  <c r="J162" i="65" s="1"/>
  <c r="J67" i="105" s="1"/>
  <c r="J35" i="82"/>
  <c r="J124" i="65"/>
  <c r="J153" i="65" s="1"/>
  <c r="J58" i="105" s="1"/>
  <c r="J98" i="105" s="1"/>
  <c r="AE35" i="82"/>
  <c r="AE142" i="65"/>
  <c r="AE171" i="65" s="1"/>
  <c r="AE76" i="105" s="1"/>
  <c r="AE124" i="65"/>
  <c r="AE153" i="65" s="1"/>
  <c r="AE58" i="105" s="1"/>
  <c r="AE98" i="105" s="1"/>
  <c r="X142" i="65"/>
  <c r="X171" i="65" s="1"/>
  <c r="X76" i="105" s="1"/>
  <c r="X35" i="82"/>
  <c r="X124" i="65"/>
  <c r="X153" i="65" s="1"/>
  <c r="X58" i="105" s="1"/>
  <c r="X98" i="105" s="1"/>
  <c r="M142" i="65"/>
  <c r="M171" i="65" s="1"/>
  <c r="M76" i="105" s="1"/>
  <c r="M124" i="65"/>
  <c r="M153" i="65" s="1"/>
  <c r="M58" i="105" s="1"/>
  <c r="M98" i="105" s="1"/>
  <c r="M133" i="65"/>
  <c r="M162" i="65" s="1"/>
  <c r="M67" i="105" s="1"/>
  <c r="M35" i="82"/>
  <c r="T142" i="65"/>
  <c r="T171" i="65" s="1"/>
  <c r="T76" i="105" s="1"/>
  <c r="T133" i="65"/>
  <c r="T162" i="65" s="1"/>
  <c r="T67" i="105" s="1"/>
  <c r="T124" i="65"/>
  <c r="T153" i="65" s="1"/>
  <c r="T58" i="105" s="1"/>
  <c r="T98" i="105" s="1"/>
  <c r="T35" i="82"/>
  <c r="U35" i="82"/>
  <c r="U133" i="65"/>
  <c r="U162" i="65" s="1"/>
  <c r="U67" i="105" s="1"/>
  <c r="U124" i="65"/>
  <c r="U153" i="65" s="1"/>
  <c r="U58" i="105" s="1"/>
  <c r="U98" i="105" s="1"/>
  <c r="U142" i="65"/>
  <c r="U171" i="65" s="1"/>
  <c r="U76" i="105" s="1"/>
  <c r="AC124" i="65"/>
  <c r="AC153" i="65" s="1"/>
  <c r="AC58" i="105" s="1"/>
  <c r="AC98" i="105" s="1"/>
  <c r="AC35" i="82"/>
  <c r="AC142" i="65"/>
  <c r="AC171" i="65" s="1"/>
  <c r="AC76" i="105" s="1"/>
  <c r="M226" i="41"/>
  <c r="M228" i="41" s="1"/>
  <c r="T226" i="41"/>
  <c r="T228" i="41" s="1"/>
  <c r="U226" i="41"/>
  <c r="U228" i="41" s="1"/>
  <c r="AC226" i="41"/>
  <c r="AC228" i="41" s="1"/>
  <c r="Z124" i="65"/>
  <c r="Z153" i="65" s="1"/>
  <c r="Z58" i="105" s="1"/>
  <c r="Z98" i="105" s="1"/>
  <c r="Z35" i="82"/>
  <c r="Z142" i="65"/>
  <c r="Z171" i="65" s="1"/>
  <c r="Z76" i="105" s="1"/>
  <c r="S142" i="65"/>
  <c r="S171" i="65" s="1"/>
  <c r="S76" i="105" s="1"/>
  <c r="S124" i="65"/>
  <c r="S153" i="65" s="1"/>
  <c r="S58" i="105" s="1"/>
  <c r="S98" i="105" s="1"/>
  <c r="S35" i="82"/>
  <c r="S133" i="65"/>
  <c r="S162" i="65" s="1"/>
  <c r="S67" i="105" s="1"/>
  <c r="AD124" i="65"/>
  <c r="AD153" i="65" s="1"/>
  <c r="AD58" i="105" s="1"/>
  <c r="AD98" i="105" s="1"/>
  <c r="AD35" i="82"/>
  <c r="AD142" i="65"/>
  <c r="AD171" i="65" s="1"/>
  <c r="AD76" i="105" s="1"/>
  <c r="P133" i="65"/>
  <c r="P162" i="65" s="1"/>
  <c r="P67" i="105" s="1"/>
  <c r="P124" i="65"/>
  <c r="P153" i="65" s="1"/>
  <c r="P58" i="105" s="1"/>
  <c r="P98" i="105" s="1"/>
  <c r="P142" i="65"/>
  <c r="P171" i="65" s="1"/>
  <c r="P76" i="105" s="1"/>
  <c r="P35" i="82"/>
  <c r="AA124" i="65"/>
  <c r="AA153" i="65" s="1"/>
  <c r="AA58" i="105" s="1"/>
  <c r="AA98" i="105" s="1"/>
  <c r="AA35" i="82"/>
  <c r="AA142" i="65"/>
  <c r="AA171" i="65" s="1"/>
  <c r="AA76" i="105" s="1"/>
  <c r="AF35" i="82"/>
  <c r="AF142" i="65"/>
  <c r="AF171" i="65" s="1"/>
  <c r="AF76" i="105" s="1"/>
  <c r="AF124" i="65"/>
  <c r="AF153" i="65" s="1"/>
  <c r="AF58" i="105" s="1"/>
  <c r="AF98" i="105" s="1"/>
  <c r="O133" i="65"/>
  <c r="O162" i="65" s="1"/>
  <c r="O67" i="105" s="1"/>
  <c r="O35" i="82"/>
  <c r="O142" i="65"/>
  <c r="O171" i="65" s="1"/>
  <c r="O76" i="105" s="1"/>
  <c r="O124" i="65"/>
  <c r="O153" i="65" s="1"/>
  <c r="O58" i="105" s="1"/>
  <c r="O98" i="105" s="1"/>
  <c r="V142" i="65"/>
  <c r="V171" i="65" s="1"/>
  <c r="V76" i="105" s="1"/>
  <c r="V133" i="65"/>
  <c r="V162" i="65" s="1"/>
  <c r="V67" i="105" s="1"/>
  <c r="V35" i="82"/>
  <c r="V124" i="65"/>
  <c r="V153" i="65" s="1"/>
  <c r="V58" i="105" s="1"/>
  <c r="V98" i="105" s="1"/>
  <c r="Y142" i="65"/>
  <c r="Y171" i="65" s="1"/>
  <c r="Y76" i="105" s="1"/>
  <c r="Y124" i="65"/>
  <c r="Y153" i="65" s="1"/>
  <c r="Y58" i="105" s="1"/>
  <c r="Y98" i="105" s="1"/>
  <c r="Y35" i="82"/>
  <c r="AA226" i="41"/>
  <c r="AA228" i="41" s="1"/>
  <c r="AF226" i="41"/>
  <c r="AF228" i="41" s="1"/>
  <c r="O226" i="41"/>
  <c r="O228" i="41" s="1"/>
  <c r="V226" i="41"/>
  <c r="V228" i="41" s="1"/>
  <c r="Y226" i="41"/>
  <c r="Y228" i="41" s="1"/>
  <c r="AG33" i="82"/>
  <c r="AG122" i="65"/>
  <c r="AG151" i="65" s="1"/>
  <c r="AG56" i="105" s="1"/>
  <c r="AG96" i="105" s="1"/>
  <c r="AG131" i="65"/>
  <c r="AG160" i="65" s="1"/>
  <c r="AG65" i="105" s="1"/>
  <c r="AG140" i="65"/>
  <c r="AG169" i="65" s="1"/>
  <c r="AG74" i="105" s="1"/>
  <c r="K34" i="82"/>
  <c r="K123" i="65"/>
  <c r="K152" i="65" s="1"/>
  <c r="K57" i="105" s="1"/>
  <c r="K97" i="105" s="1"/>
  <c r="K141" i="65"/>
  <c r="K170" i="65" s="1"/>
  <c r="K75" i="105" s="1"/>
  <c r="K132" i="65"/>
  <c r="K161" i="65" s="1"/>
  <c r="K66" i="105" s="1"/>
  <c r="K131" i="65"/>
  <c r="K160" i="65" s="1"/>
  <c r="K65" i="105" s="1"/>
  <c r="K140" i="65"/>
  <c r="K169" i="65" s="1"/>
  <c r="K74" i="105" s="1"/>
  <c r="K116" i="105" s="1"/>
  <c r="K122" i="65"/>
  <c r="K151" i="65" s="1"/>
  <c r="K56" i="105" s="1"/>
  <c r="K96" i="105" s="1"/>
  <c r="K33" i="82"/>
  <c r="K139" i="65"/>
  <c r="K168" i="65" s="1"/>
  <c r="K73" i="105" s="1"/>
  <c r="K121" i="65"/>
  <c r="K150" i="65" s="1"/>
  <c r="K55" i="105" s="1"/>
  <c r="K95" i="105" s="1"/>
  <c r="K32" i="82"/>
  <c r="K130" i="65"/>
  <c r="K159" i="65" s="1"/>
  <c r="K64" i="105" s="1"/>
  <c r="AG130" i="65"/>
  <c r="AG159" i="65" s="1"/>
  <c r="AG64" i="105" s="1"/>
  <c r="AG32" i="82"/>
  <c r="AG139" i="65"/>
  <c r="AG168" i="65" s="1"/>
  <c r="AG73" i="105" s="1"/>
  <c r="AG121" i="65"/>
  <c r="AG150" i="65" s="1"/>
  <c r="AG55" i="105" s="1"/>
  <c r="AG95" i="105" s="1"/>
  <c r="AG34" i="82"/>
  <c r="AG141" i="65"/>
  <c r="AG170" i="65" s="1"/>
  <c r="AG75" i="105" s="1"/>
  <c r="AG132" i="65"/>
  <c r="AG161" i="65" s="1"/>
  <c r="AG66" i="105" s="1"/>
  <c r="AG123" i="65"/>
  <c r="AG152" i="65" s="1"/>
  <c r="AG57" i="105" s="1"/>
  <c r="AG97" i="105" s="1"/>
  <c r="S249" i="41" l="1"/>
  <c r="S267" i="41" s="1"/>
  <c r="S272" i="41" s="1"/>
  <c r="S251" i="41"/>
  <c r="S269" i="41" s="1"/>
  <c r="S274" i="41" s="1"/>
  <c r="Z424" i="41"/>
  <c r="Z237" i="41"/>
  <c r="AD237" i="41"/>
  <c r="AD293" i="41"/>
  <c r="AD295" i="41" s="1"/>
  <c r="AD424" i="41"/>
  <c r="J424" i="41"/>
  <c r="J293" i="41"/>
  <c r="J295" i="41" s="1"/>
  <c r="J237" i="41"/>
  <c r="P424" i="41"/>
  <c r="P237" i="41"/>
  <c r="P293" i="41"/>
  <c r="P295" i="41" s="1"/>
  <c r="AE424" i="41"/>
  <c r="AE293" i="41"/>
  <c r="AE295" i="41" s="1"/>
  <c r="AE237" i="41"/>
  <c r="X424" i="41"/>
  <c r="X237" i="41"/>
  <c r="S424" i="41"/>
  <c r="X293" i="41"/>
  <c r="X295" i="41" s="1"/>
  <c r="S293" i="41"/>
  <c r="S295" i="41" s="1"/>
  <c r="N237" i="41"/>
  <c r="N424" i="41"/>
  <c r="N293" i="41"/>
  <c r="N295" i="41" s="1"/>
  <c r="Y196" i="105"/>
  <c r="Y118" i="105"/>
  <c r="O185" i="105"/>
  <c r="O108" i="105"/>
  <c r="T424" i="41"/>
  <c r="Y293" i="41"/>
  <c r="Y295" i="41" s="1"/>
  <c r="T237" i="41"/>
  <c r="T293" i="41"/>
  <c r="T295" i="41" s="1"/>
  <c r="M196" i="105"/>
  <c r="M118" i="105"/>
  <c r="Y237" i="41"/>
  <c r="Y424" i="41"/>
  <c r="P196" i="105"/>
  <c r="P118" i="105"/>
  <c r="M424" i="41"/>
  <c r="M293" i="41"/>
  <c r="M295" i="41" s="1"/>
  <c r="M237" i="41"/>
  <c r="H230" i="41"/>
  <c r="J185" i="105"/>
  <c r="J108" i="105"/>
  <c r="V424" i="41"/>
  <c r="V293" i="41"/>
  <c r="V295" i="41" s="1"/>
  <c r="AA293" i="41"/>
  <c r="AA295" i="41" s="1"/>
  <c r="V237" i="41"/>
  <c r="AF196" i="105"/>
  <c r="AF118" i="105"/>
  <c r="S196" i="105"/>
  <c r="S118" i="105"/>
  <c r="AC196" i="105"/>
  <c r="AC118" i="105"/>
  <c r="J196" i="105"/>
  <c r="J118" i="105"/>
  <c r="AG102" i="105"/>
  <c r="AG140" i="105" s="1"/>
  <c r="O293" i="41"/>
  <c r="O295" i="41" s="1"/>
  <c r="O424" i="41"/>
  <c r="O237" i="41"/>
  <c r="V185" i="105"/>
  <c r="V108" i="105"/>
  <c r="P185" i="105"/>
  <c r="P108" i="105"/>
  <c r="Z196" i="105"/>
  <c r="Z118" i="105"/>
  <c r="T185" i="105"/>
  <c r="T108" i="105"/>
  <c r="X196" i="105"/>
  <c r="X118" i="105"/>
  <c r="N185" i="105"/>
  <c r="N108" i="105"/>
  <c r="AF424" i="41"/>
  <c r="AF237" i="41"/>
  <c r="AF293" i="41"/>
  <c r="AF295" i="41" s="1"/>
  <c r="V118" i="105"/>
  <c r="V196" i="105"/>
  <c r="AA196" i="105"/>
  <c r="AA118" i="105"/>
  <c r="AD196" i="105"/>
  <c r="AD118" i="105"/>
  <c r="T196" i="105"/>
  <c r="T118" i="105"/>
  <c r="N196" i="105"/>
  <c r="N118" i="105"/>
  <c r="AA424" i="41"/>
  <c r="AA237" i="41"/>
  <c r="U196" i="105"/>
  <c r="U118" i="105"/>
  <c r="AE196" i="105"/>
  <c r="AE118" i="105"/>
  <c r="O196" i="105"/>
  <c r="O118" i="105"/>
  <c r="AC424" i="41"/>
  <c r="AC237" i="41"/>
  <c r="AC293" i="41"/>
  <c r="AC295" i="41" s="1"/>
  <c r="M185" i="105"/>
  <c r="M108" i="105"/>
  <c r="S185" i="105"/>
  <c r="S108" i="105"/>
  <c r="U424" i="41"/>
  <c r="U237" i="41"/>
  <c r="U293" i="41"/>
  <c r="U295" i="41" s="1"/>
  <c r="Z293" i="41"/>
  <c r="Z295" i="41" s="1"/>
  <c r="U185" i="105"/>
  <c r="U108" i="105"/>
  <c r="H98" i="105"/>
  <c r="K102" i="105"/>
  <c r="K174" i="105" s="1"/>
  <c r="K65" i="82" s="1"/>
  <c r="AG194" i="105"/>
  <c r="AG116" i="105"/>
  <c r="AG183" i="105"/>
  <c r="AG106" i="105"/>
  <c r="AG193" i="105"/>
  <c r="AG115" i="105"/>
  <c r="K182" i="105"/>
  <c r="K105" i="105"/>
  <c r="AG182" i="105"/>
  <c r="AG105" i="105"/>
  <c r="K193" i="105"/>
  <c r="K115" i="105"/>
  <c r="K183" i="105"/>
  <c r="K106" i="105"/>
  <c r="AG195" i="105"/>
  <c r="AG117" i="105"/>
  <c r="AG184" i="105"/>
  <c r="AG107" i="105"/>
  <c r="K184" i="105"/>
  <c r="K107" i="105"/>
  <c r="K195" i="105"/>
  <c r="K117" i="105"/>
  <c r="AG146" i="105" l="1"/>
  <c r="AG63" i="82" s="1"/>
  <c r="AG174" i="105"/>
  <c r="AG65" i="82" s="1"/>
  <c r="Z249" i="41"/>
  <c r="Z267" i="41" s="1"/>
  <c r="Z272" i="41" s="1"/>
  <c r="Z250" i="41"/>
  <c r="Z268" i="41" s="1"/>
  <c r="Z273" i="41" s="1"/>
  <c r="Z251" i="41"/>
  <c r="Z269" i="41" s="1"/>
  <c r="Z274" i="41" s="1"/>
  <c r="AD251" i="41"/>
  <c r="AD269" i="41" s="1"/>
  <c r="AD274" i="41" s="1"/>
  <c r="AD279" i="41" s="1"/>
  <c r="AD284" i="41" s="1"/>
  <c r="AD362" i="41" s="1"/>
  <c r="AD364" i="41" s="1"/>
  <c r="AD366" i="41" s="1"/>
  <c r="AD249" i="41"/>
  <c r="AD267" i="41" s="1"/>
  <c r="AD272" i="41" s="1"/>
  <c r="AD277" i="41" s="1"/>
  <c r="AD282" i="41" s="1"/>
  <c r="AD250" i="41"/>
  <c r="AD268" i="41" s="1"/>
  <c r="AD273" i="41" s="1"/>
  <c r="AD278" i="41" s="1"/>
  <c r="AD283" i="41" s="1"/>
  <c r="N251" i="41"/>
  <c r="N269" i="41" s="1"/>
  <c r="N274" i="41" s="1"/>
  <c r="N279" i="41" s="1"/>
  <c r="N284" i="41" s="1"/>
  <c r="N362" i="41" s="1"/>
  <c r="N364" i="41" s="1"/>
  <c r="N366" i="41" s="1"/>
  <c r="N249" i="41"/>
  <c r="N267" i="41" s="1"/>
  <c r="N272" i="41" s="1"/>
  <c r="N277" i="41" s="1"/>
  <c r="N282" i="41" s="1"/>
  <c r="N250" i="41"/>
  <c r="N268" i="41" s="1"/>
  <c r="N273" i="41" s="1"/>
  <c r="N278" i="41" s="1"/>
  <c r="N283" i="41" s="1"/>
  <c r="P251" i="41"/>
  <c r="P269" i="41" s="1"/>
  <c r="P249" i="41"/>
  <c r="P267" i="41" s="1"/>
  <c r="P272" i="41" s="1"/>
  <c r="P277" i="41" s="1"/>
  <c r="P282" i="41" s="1"/>
  <c r="P250" i="41"/>
  <c r="P268" i="41" s="1"/>
  <c r="P273" i="41" s="1"/>
  <c r="P278" i="41" s="1"/>
  <c r="P283" i="41" s="1"/>
  <c r="P274" i="41"/>
  <c r="P279" i="41" s="1"/>
  <c r="P284" i="41" s="1"/>
  <c r="P362" i="41" s="1"/>
  <c r="P364" i="41" s="1"/>
  <c r="P366" i="41" s="1"/>
  <c r="X251" i="41"/>
  <c r="X269" i="41" s="1"/>
  <c r="X274" i="41" s="1"/>
  <c r="X249" i="41"/>
  <c r="X267" i="41" s="1"/>
  <c r="X272" i="41" s="1"/>
  <c r="X250" i="41"/>
  <c r="X268" i="41" s="1"/>
  <c r="X273" i="41" s="1"/>
  <c r="J249" i="41"/>
  <c r="J267" i="41" s="1"/>
  <c r="J272" i="41" s="1"/>
  <c r="J277" i="41" s="1"/>
  <c r="J282" i="41" s="1"/>
  <c r="J251" i="41"/>
  <c r="J269" i="41" s="1"/>
  <c r="J274" i="41" s="1"/>
  <c r="J279" i="41" s="1"/>
  <c r="J284" i="41" s="1"/>
  <c r="J362" i="41" s="1"/>
  <c r="J364" i="41" s="1"/>
  <c r="J366" i="41" s="1"/>
  <c r="J250" i="41"/>
  <c r="J268" i="41" s="1"/>
  <c r="J273" i="41" s="1"/>
  <c r="J278" i="41" s="1"/>
  <c r="J283" i="41" s="1"/>
  <c r="AE251" i="41"/>
  <c r="AE269" i="41" s="1"/>
  <c r="AE274" i="41" s="1"/>
  <c r="AE279" i="41" s="1"/>
  <c r="AE284" i="41" s="1"/>
  <c r="AE362" i="41" s="1"/>
  <c r="AE364" i="41" s="1"/>
  <c r="AE366" i="41" s="1"/>
  <c r="AE250" i="41"/>
  <c r="AE268" i="41" s="1"/>
  <c r="AE273" i="41" s="1"/>
  <c r="AE278" i="41" s="1"/>
  <c r="AE283" i="41" s="1"/>
  <c r="AE249" i="41"/>
  <c r="AE267" i="41" s="1"/>
  <c r="AE272" i="41" s="1"/>
  <c r="AE277" i="41" s="1"/>
  <c r="AE282" i="41" s="1"/>
  <c r="AG112" i="105"/>
  <c r="AG147" i="105" s="1"/>
  <c r="AG200" i="105"/>
  <c r="AG207" i="105" s="1"/>
  <c r="AG74" i="82" s="1"/>
  <c r="H108" i="105"/>
  <c r="AG189" i="105"/>
  <c r="AG206" i="105" s="1"/>
  <c r="AG73" i="82" s="1"/>
  <c r="H118" i="105"/>
  <c r="V250" i="41"/>
  <c r="V268" i="41" s="1"/>
  <c r="V273" i="41" s="1"/>
  <c r="V249" i="41"/>
  <c r="V267" i="41" s="1"/>
  <c r="V272" i="41" s="1"/>
  <c r="V251" i="41"/>
  <c r="V269" i="41" s="1"/>
  <c r="V274" i="41" s="1"/>
  <c r="Y251" i="41"/>
  <c r="Y269" i="41" s="1"/>
  <c r="Y274" i="41" s="1"/>
  <c r="Y250" i="41"/>
  <c r="Y268" i="41" s="1"/>
  <c r="Y273" i="41" s="1"/>
  <c r="Y249" i="41"/>
  <c r="Y267" i="41" s="1"/>
  <c r="Y272" i="41" s="1"/>
  <c r="O251" i="41"/>
  <c r="O269" i="41" s="1"/>
  <c r="O250" i="41"/>
  <c r="O268" i="41" s="1"/>
  <c r="O273" i="41" s="1"/>
  <c r="O278" i="41" s="1"/>
  <c r="O283" i="41" s="1"/>
  <c r="O274" i="41"/>
  <c r="O279" i="41" s="1"/>
  <c r="O284" i="41" s="1"/>
  <c r="O362" i="41" s="1"/>
  <c r="O364" i="41" s="1"/>
  <c r="O366" i="41" s="1"/>
  <c r="O249" i="41"/>
  <c r="O267" i="41" s="1"/>
  <c r="O272" i="41" s="1"/>
  <c r="O277" i="41" s="1"/>
  <c r="O282" i="41" s="1"/>
  <c r="M250" i="41"/>
  <c r="M405" i="41"/>
  <c r="M414" i="41" s="1"/>
  <c r="M34" i="65" s="1"/>
  <c r="M112" i="65" s="1"/>
  <c r="M251" i="41"/>
  <c r="M249" i="41"/>
  <c r="AF251" i="41"/>
  <c r="AF269" i="41" s="1"/>
  <c r="AF274" i="41" s="1"/>
  <c r="AF279" i="41" s="1"/>
  <c r="AF284" i="41" s="1"/>
  <c r="AF362" i="41" s="1"/>
  <c r="AF364" i="41" s="1"/>
  <c r="AF366" i="41" s="1"/>
  <c r="AF249" i="41"/>
  <c r="AF267" i="41" s="1"/>
  <c r="AF272" i="41" s="1"/>
  <c r="AF277" i="41" s="1"/>
  <c r="AF282" i="41" s="1"/>
  <c r="AF250" i="41"/>
  <c r="AF268" i="41" s="1"/>
  <c r="AF273" i="41" s="1"/>
  <c r="AF278" i="41" s="1"/>
  <c r="AF283" i="41" s="1"/>
  <c r="AF330" i="41" s="1"/>
  <c r="AF332" i="41" s="1"/>
  <c r="AF334" i="41" s="1"/>
  <c r="U251" i="41"/>
  <c r="U269" i="41" s="1"/>
  <c r="U274" i="41" s="1"/>
  <c r="U250" i="41"/>
  <c r="U268" i="41" s="1"/>
  <c r="U273" i="41" s="1"/>
  <c r="U249" i="41"/>
  <c r="U267" i="41" s="1"/>
  <c r="U272" i="41" s="1"/>
  <c r="AC250" i="41"/>
  <c r="AC268" i="41" s="1"/>
  <c r="AC273" i="41" s="1"/>
  <c r="AC278" i="41" s="1"/>
  <c r="AC283" i="41" s="1"/>
  <c r="AC249" i="41"/>
  <c r="AC267" i="41" s="1"/>
  <c r="AC272" i="41" s="1"/>
  <c r="AC277" i="41" s="1"/>
  <c r="AC282" i="41" s="1"/>
  <c r="AC251" i="41"/>
  <c r="AC269" i="41" s="1"/>
  <c r="AC274" i="41" s="1"/>
  <c r="AC279" i="41" s="1"/>
  <c r="AC284" i="41" s="1"/>
  <c r="AC362" i="41" s="1"/>
  <c r="AC364" i="41" s="1"/>
  <c r="AC366" i="41" s="1"/>
  <c r="AA251" i="41"/>
  <c r="AA269" i="41" s="1"/>
  <c r="AA274" i="41" s="1"/>
  <c r="AA250" i="41"/>
  <c r="AA268" i="41" s="1"/>
  <c r="AA273" i="41" s="1"/>
  <c r="AA249" i="41"/>
  <c r="AA267" i="41" s="1"/>
  <c r="AA272" i="41" s="1"/>
  <c r="H424" i="41"/>
  <c r="T250" i="41"/>
  <c r="T268" i="41" s="1"/>
  <c r="T273" i="41" s="1"/>
  <c r="T251" i="41"/>
  <c r="T269" i="41" s="1"/>
  <c r="T274" i="41" s="1"/>
  <c r="T249" i="41"/>
  <c r="T267" i="41" s="1"/>
  <c r="T272" i="41" s="1"/>
  <c r="AG122" i="105"/>
  <c r="AG142" i="105" s="1"/>
  <c r="K112" i="105"/>
  <c r="K189" i="105"/>
  <c r="K200" i="105"/>
  <c r="K146" i="105"/>
  <c r="K63" i="82" s="1"/>
  <c r="K122" i="105"/>
  <c r="AG62" i="82"/>
  <c r="AG148" i="105" l="1"/>
  <c r="J330" i="41"/>
  <c r="J332" i="41" s="1"/>
  <c r="J334" i="41" s="1"/>
  <c r="N330" i="41"/>
  <c r="N332" i="41" s="1"/>
  <c r="N334" i="41" s="1"/>
  <c r="AF298" i="41"/>
  <c r="AF300" i="41" s="1"/>
  <c r="AF302" i="41" s="1"/>
  <c r="AF304" i="41" s="1"/>
  <c r="AF391" i="41" s="1"/>
  <c r="J298" i="41"/>
  <c r="J300" i="41" s="1"/>
  <c r="J302" i="41" s="1"/>
  <c r="J304" i="41" s="1"/>
  <c r="J391" i="41" s="1"/>
  <c r="AD330" i="41"/>
  <c r="AD332" i="41" s="1"/>
  <c r="AD334" i="41" s="1"/>
  <c r="N298" i="41"/>
  <c r="N300" i="41" s="1"/>
  <c r="N302" i="41" s="1"/>
  <c r="N304" i="41" s="1"/>
  <c r="N391" i="41" s="1"/>
  <c r="AD298" i="41"/>
  <c r="AD300" i="41" s="1"/>
  <c r="AD302" i="41" s="1"/>
  <c r="AD304" i="41" s="1"/>
  <c r="AD391" i="41" s="1"/>
  <c r="P330" i="41"/>
  <c r="P332" i="41" s="1"/>
  <c r="P334" i="41" s="1"/>
  <c r="AE330" i="41"/>
  <c r="AE332" i="41" s="1"/>
  <c r="AE334" i="41" s="1"/>
  <c r="P298" i="41"/>
  <c r="P300" i="41" s="1"/>
  <c r="P302" i="41" s="1"/>
  <c r="P304" i="41" s="1"/>
  <c r="P391" i="41" s="1"/>
  <c r="S278" i="41"/>
  <c r="S283" i="41" s="1"/>
  <c r="X278" i="41"/>
  <c r="X283" i="41" s="1"/>
  <c r="S277" i="41"/>
  <c r="S282" i="41" s="1"/>
  <c r="X277" i="41"/>
  <c r="X282" i="41" s="1"/>
  <c r="AE298" i="41"/>
  <c r="AE300" i="41" s="1"/>
  <c r="AE302" i="41" s="1"/>
  <c r="AE304" i="41" s="1"/>
  <c r="AE391" i="41" s="1"/>
  <c r="S279" i="41"/>
  <c r="S284" i="41" s="1"/>
  <c r="S362" i="41" s="1"/>
  <c r="X279" i="41"/>
  <c r="X284" i="41" s="1"/>
  <c r="X362" i="41" s="1"/>
  <c r="U279" i="41"/>
  <c r="U284" i="41" s="1"/>
  <c r="U362" i="41" s="1"/>
  <c r="Z279" i="41"/>
  <c r="Z284" i="41" s="1"/>
  <c r="Z362" i="41" s="1"/>
  <c r="AC330" i="41"/>
  <c r="AC332" i="41" s="1"/>
  <c r="AC334" i="41" s="1"/>
  <c r="Y277" i="41"/>
  <c r="Y282" i="41" s="1"/>
  <c r="T277" i="41"/>
  <c r="T282" i="41" s="1"/>
  <c r="AA278" i="41"/>
  <c r="AA283" i="41" s="1"/>
  <c r="V278" i="41"/>
  <c r="V283" i="41" s="1"/>
  <c r="Z278" i="41"/>
  <c r="Z283" i="41" s="1"/>
  <c r="U278" i="41"/>
  <c r="U283" i="41" s="1"/>
  <c r="M269" i="41"/>
  <c r="M274" i="41" s="1"/>
  <c r="M279" i="41" s="1"/>
  <c r="M284" i="41" s="1"/>
  <c r="M362" i="41" s="1"/>
  <c r="M364" i="41" s="1"/>
  <c r="M366" i="41" s="1"/>
  <c r="AG259" i="41" a="1"/>
  <c r="AG259" i="41" s="1"/>
  <c r="AG264" i="41" s="1"/>
  <c r="S259" i="41" a="1"/>
  <c r="S259" i="41" s="1"/>
  <c r="S264" i="41" s="1"/>
  <c r="AA259" i="41" a="1"/>
  <c r="AA259" i="41" s="1"/>
  <c r="AA264" i="41" s="1"/>
  <c r="J259" i="41" a="1"/>
  <c r="J259" i="41" s="1"/>
  <c r="J264" i="41" s="1"/>
  <c r="Q259" i="41" a="1"/>
  <c r="Q259" i="41" s="1"/>
  <c r="Q264" i="41" s="1"/>
  <c r="Q400" i="41" s="1"/>
  <c r="AN259" i="41" a="1"/>
  <c r="AN259" i="41" s="1"/>
  <c r="AN264" i="41" s="1"/>
  <c r="AN400" i="41" s="1"/>
  <c r="AO259" i="41" a="1"/>
  <c r="AO259" i="41" s="1"/>
  <c r="AO264" i="41" s="1"/>
  <c r="AO400" i="41" s="1"/>
  <c r="AF259" i="41" a="1"/>
  <c r="AF259" i="41" s="1"/>
  <c r="AF264" i="41" s="1"/>
  <c r="AD259" i="41" a="1"/>
  <c r="AD259" i="41" s="1"/>
  <c r="AD264" i="41" s="1"/>
  <c r="R259" i="41" a="1"/>
  <c r="R259" i="41" s="1"/>
  <c r="R264" i="41" s="1"/>
  <c r="R400" i="41" s="1"/>
  <c r="M259" i="41" a="1"/>
  <c r="M259" i="41" s="1"/>
  <c r="M264" i="41" s="1"/>
  <c r="T259" i="41" a="1"/>
  <c r="T259" i="41" s="1"/>
  <c r="T264" i="41" s="1"/>
  <c r="Z259" i="41" a="1"/>
  <c r="Z259" i="41" s="1"/>
  <c r="Z264" i="41" s="1"/>
  <c r="AB259" i="41" a="1"/>
  <c r="AB259" i="41" s="1"/>
  <c r="AB264" i="41" s="1"/>
  <c r="AB400" i="41" s="1"/>
  <c r="AC259" i="41" a="1"/>
  <c r="AC259" i="41" s="1"/>
  <c r="AC264" i="41" s="1"/>
  <c r="V259" i="41" a="1"/>
  <c r="V259" i="41" s="1"/>
  <c r="V264" i="41" s="1"/>
  <c r="AJ259" i="41" a="1"/>
  <c r="AJ259" i="41" s="1"/>
  <c r="AJ264" i="41" s="1"/>
  <c r="AJ400" i="41" s="1"/>
  <c r="W259" i="41" a="1"/>
  <c r="W259" i="41" s="1"/>
  <c r="W264" i="41" s="1"/>
  <c r="W400" i="41" s="1"/>
  <c r="AH259" i="41" a="1"/>
  <c r="AH259" i="41" s="1"/>
  <c r="AH264" i="41" s="1"/>
  <c r="AH400" i="41" s="1"/>
  <c r="O259" i="41" a="1"/>
  <c r="O259" i="41" s="1"/>
  <c r="O264" i="41" s="1"/>
  <c r="AM259" i="41" a="1"/>
  <c r="AM259" i="41" s="1"/>
  <c r="AM264" i="41" s="1"/>
  <c r="AM400" i="41" s="1"/>
  <c r="X259" i="41" a="1"/>
  <c r="X259" i="41" s="1"/>
  <c r="X264" i="41" s="1"/>
  <c r="N259" i="41" a="1"/>
  <c r="N259" i="41" s="1"/>
  <c r="N264" i="41" s="1"/>
  <c r="Y259" i="41" a="1"/>
  <c r="Y259" i="41" s="1"/>
  <c r="Y264" i="41" s="1"/>
  <c r="P259" i="41" a="1"/>
  <c r="P259" i="41" s="1"/>
  <c r="P264" i="41" s="1"/>
  <c r="AE259" i="41" a="1"/>
  <c r="AE259" i="41" s="1"/>
  <c r="AE264" i="41" s="1"/>
  <c r="K259" i="41" a="1"/>
  <c r="K259" i="41" s="1"/>
  <c r="K264" i="41" s="1"/>
  <c r="K400" i="41" s="1"/>
  <c r="L259" i="41" a="1"/>
  <c r="L259" i="41" s="1"/>
  <c r="L264" i="41" s="1"/>
  <c r="L400" i="41" s="1"/>
  <c r="AK259" i="41" a="1"/>
  <c r="AK259" i="41" s="1"/>
  <c r="AK264" i="41" s="1"/>
  <c r="AK400" i="41" s="1"/>
  <c r="AI259" i="41" a="1"/>
  <c r="AI259" i="41" s="1"/>
  <c r="AI264" i="41" s="1"/>
  <c r="AI400" i="41" s="1"/>
  <c r="AL259" i="41" a="1"/>
  <c r="AL259" i="41" s="1"/>
  <c r="AL264" i="41" s="1"/>
  <c r="AL400" i="41" s="1"/>
  <c r="U259" i="41" a="1"/>
  <c r="U259" i="41" s="1"/>
  <c r="U264" i="41" s="1"/>
  <c r="M123" i="65"/>
  <c r="M152" i="65" s="1"/>
  <c r="M57" i="105" s="1"/>
  <c r="M97" i="105" s="1"/>
  <c r="M132" i="65"/>
  <c r="M161" i="65" s="1"/>
  <c r="M66" i="105" s="1"/>
  <c r="M34" i="82"/>
  <c r="M141" i="65"/>
  <c r="M170" i="65" s="1"/>
  <c r="M75" i="105" s="1"/>
  <c r="M268" i="41"/>
  <c r="M273" i="41" s="1"/>
  <c r="M278" i="41" s="1"/>
  <c r="M283" i="41" s="1"/>
  <c r="AA258" i="41" a="1"/>
  <c r="AA258" i="41" s="1"/>
  <c r="AA263" i="41" s="1"/>
  <c r="AI258" i="41" a="1"/>
  <c r="AI258" i="41" s="1"/>
  <c r="AI263" i="41" s="1"/>
  <c r="AI399" i="41" s="1"/>
  <c r="M258" i="41" a="1"/>
  <c r="M258" i="41" s="1"/>
  <c r="M263" i="41" s="1"/>
  <c r="S258" i="41" a="1"/>
  <c r="S258" i="41" s="1"/>
  <c r="S263" i="41" s="1"/>
  <c r="T258" i="41" a="1"/>
  <c r="T258" i="41" s="1"/>
  <c r="T263" i="41" s="1"/>
  <c r="Y258" i="41" a="1"/>
  <c r="Y258" i="41" s="1"/>
  <c r="Y263" i="41" s="1"/>
  <c r="AO258" i="41" a="1"/>
  <c r="AO258" i="41" s="1"/>
  <c r="AO263" i="41" s="1"/>
  <c r="AO399" i="41" s="1"/>
  <c r="AG258" i="41" a="1"/>
  <c r="AG258" i="41" s="1"/>
  <c r="AG263" i="41" s="1"/>
  <c r="N258" i="41" a="1"/>
  <c r="N258" i="41" s="1"/>
  <c r="N263" i="41" s="1"/>
  <c r="AK258" i="41" a="1"/>
  <c r="AK258" i="41" s="1"/>
  <c r="AK263" i="41" s="1"/>
  <c r="AK399" i="41" s="1"/>
  <c r="AM258" i="41" a="1"/>
  <c r="AM258" i="41" s="1"/>
  <c r="AM263" i="41" s="1"/>
  <c r="AM399" i="41" s="1"/>
  <c r="J258" i="41" a="1"/>
  <c r="J258" i="41" s="1"/>
  <c r="J263" i="41" s="1"/>
  <c r="AF258" i="41" a="1"/>
  <c r="AF258" i="41" s="1"/>
  <c r="AF263" i="41" s="1"/>
  <c r="Z258" i="41" a="1"/>
  <c r="Z258" i="41" s="1"/>
  <c r="Z263" i="41" s="1"/>
  <c r="W258" i="41" a="1"/>
  <c r="W258" i="41" s="1"/>
  <c r="W263" i="41" s="1"/>
  <c r="W399" i="41" s="1"/>
  <c r="AL258" i="41" a="1"/>
  <c r="AL258" i="41" s="1"/>
  <c r="AL263" i="41" s="1"/>
  <c r="AL399" i="41" s="1"/>
  <c r="AB258" i="41" a="1"/>
  <c r="AB258" i="41" s="1"/>
  <c r="AB263" i="41" s="1"/>
  <c r="AB399" i="41" s="1"/>
  <c r="Q258" i="41" a="1"/>
  <c r="Q258" i="41" s="1"/>
  <c r="Q263" i="41" s="1"/>
  <c r="Q399" i="41" s="1"/>
  <c r="U258" i="41" a="1"/>
  <c r="U258" i="41" s="1"/>
  <c r="U263" i="41" s="1"/>
  <c r="L258" i="41" a="1"/>
  <c r="L258" i="41" s="1"/>
  <c r="L263" i="41" s="1"/>
  <c r="L399" i="41" s="1"/>
  <c r="AD258" i="41" a="1"/>
  <c r="AD258" i="41" s="1"/>
  <c r="AD263" i="41" s="1"/>
  <c r="AJ258" i="41" a="1"/>
  <c r="AJ258" i="41" s="1"/>
  <c r="AJ263" i="41" s="1"/>
  <c r="AJ399" i="41" s="1"/>
  <c r="V258" i="41" a="1"/>
  <c r="V258" i="41" s="1"/>
  <c r="V263" i="41" s="1"/>
  <c r="X258" i="41" a="1"/>
  <c r="X258" i="41" s="1"/>
  <c r="X263" i="41" s="1"/>
  <c r="R258" i="41" a="1"/>
  <c r="R258" i="41" s="1"/>
  <c r="R263" i="41" s="1"/>
  <c r="R399" i="41" s="1"/>
  <c r="AE258" i="41" a="1"/>
  <c r="AE258" i="41" s="1"/>
  <c r="AE263" i="41" s="1"/>
  <c r="AN258" i="41" a="1"/>
  <c r="AN258" i="41" s="1"/>
  <c r="AN263" i="41" s="1"/>
  <c r="AN399" i="41" s="1"/>
  <c r="AC258" i="41" a="1"/>
  <c r="AC258" i="41" s="1"/>
  <c r="AC263" i="41" s="1"/>
  <c r="AH258" i="41" a="1"/>
  <c r="AH258" i="41" s="1"/>
  <c r="AH263" i="41" s="1"/>
  <c r="AH399" i="41" s="1"/>
  <c r="O258" i="41" a="1"/>
  <c r="O258" i="41" s="1"/>
  <c r="O263" i="41" s="1"/>
  <c r="P258" i="41" a="1"/>
  <c r="P258" i="41" s="1"/>
  <c r="P263" i="41" s="1"/>
  <c r="K258" i="41" a="1"/>
  <c r="K258" i="41" s="1"/>
  <c r="K263" i="41" s="1"/>
  <c r="K399" i="41" s="1"/>
  <c r="Y279" i="41"/>
  <c r="Y284" i="41" s="1"/>
  <c r="Y362" i="41" s="1"/>
  <c r="T279" i="41"/>
  <c r="T284" i="41" s="1"/>
  <c r="T362" i="41" s="1"/>
  <c r="AC298" i="41"/>
  <c r="AC300" i="41" s="1"/>
  <c r="AC302" i="41" s="1"/>
  <c r="AC304" i="41" s="1"/>
  <c r="AC391" i="41" s="1"/>
  <c r="O298" i="41"/>
  <c r="O300" i="41" s="1"/>
  <c r="O302" i="41" s="1"/>
  <c r="O304" i="41" s="1"/>
  <c r="O391" i="41" s="1"/>
  <c r="Y278" i="41"/>
  <c r="Y283" i="41" s="1"/>
  <c r="T278" i="41"/>
  <c r="T283" i="41" s="1"/>
  <c r="U277" i="41"/>
  <c r="U282" i="41" s="1"/>
  <c r="Z277" i="41"/>
  <c r="Z282" i="41" s="1"/>
  <c r="O330" i="41"/>
  <c r="O332" i="41" s="1"/>
  <c r="O334" i="41" s="1"/>
  <c r="AA279" i="41"/>
  <c r="AA284" i="41" s="1"/>
  <c r="AA362" i="41" s="1"/>
  <c r="V279" i="41"/>
  <c r="V284" i="41" s="1"/>
  <c r="V362" i="41" s="1"/>
  <c r="M267" i="41"/>
  <c r="M272" i="41" s="1"/>
  <c r="M277" i="41" s="1"/>
  <c r="M282" i="41" s="1"/>
  <c r="K257" i="41" a="1"/>
  <c r="K257" i="41" s="1"/>
  <c r="K262" i="41" s="1"/>
  <c r="J257" i="41" a="1"/>
  <c r="J257" i="41" s="1"/>
  <c r="J262" i="41" s="1"/>
  <c r="AG257" i="41" a="1"/>
  <c r="AG257" i="41" s="1"/>
  <c r="AG262" i="41" s="1"/>
  <c r="AE257" i="41" a="1"/>
  <c r="AE257" i="41" s="1"/>
  <c r="AE262" i="41" s="1"/>
  <c r="AI257" i="41" a="1"/>
  <c r="AI257" i="41" s="1"/>
  <c r="AI262" i="41" s="1"/>
  <c r="S257" i="41" a="1"/>
  <c r="S257" i="41" s="1"/>
  <c r="S262" i="41" s="1"/>
  <c r="W257" i="41" a="1"/>
  <c r="W257" i="41" s="1"/>
  <c r="W262" i="41" s="1"/>
  <c r="O257" i="41" a="1"/>
  <c r="O257" i="41" s="1"/>
  <c r="O262" i="41" s="1"/>
  <c r="R257" i="41" a="1"/>
  <c r="R257" i="41" s="1"/>
  <c r="R262" i="41" s="1"/>
  <c r="AB257" i="41" a="1"/>
  <c r="AB257" i="41" s="1"/>
  <c r="AB262" i="41" s="1"/>
  <c r="U257" i="41" a="1"/>
  <c r="U257" i="41" s="1"/>
  <c r="U262" i="41" s="1"/>
  <c r="M257" i="41" a="1"/>
  <c r="M257" i="41" s="1"/>
  <c r="M262" i="41" s="1"/>
  <c r="AO257" i="41" a="1"/>
  <c r="AO257" i="41" s="1"/>
  <c r="AO262" i="41" s="1"/>
  <c r="AD257" i="41" a="1"/>
  <c r="AD257" i="41" s="1"/>
  <c r="AD262" i="41" s="1"/>
  <c r="T257" i="41" a="1"/>
  <c r="T257" i="41" s="1"/>
  <c r="T262" i="41" s="1"/>
  <c r="AJ257" i="41" a="1"/>
  <c r="AJ257" i="41" s="1"/>
  <c r="AJ262" i="41" s="1"/>
  <c r="AL257" i="41" a="1"/>
  <c r="AL257" i="41" s="1"/>
  <c r="AL262" i="41" s="1"/>
  <c r="P257" i="41" a="1"/>
  <c r="P257" i="41" s="1"/>
  <c r="P262" i="41" s="1"/>
  <c r="N257" i="41" a="1"/>
  <c r="N257" i="41" s="1"/>
  <c r="N262" i="41" s="1"/>
  <c r="V257" i="41" a="1"/>
  <c r="V257" i="41" s="1"/>
  <c r="V262" i="41" s="1"/>
  <c r="AA257" i="41" a="1"/>
  <c r="AA257" i="41" s="1"/>
  <c r="AA262" i="41" s="1"/>
  <c r="AC257" i="41" a="1"/>
  <c r="AC257" i="41" s="1"/>
  <c r="AC262" i="41" s="1"/>
  <c r="Z257" i="41" a="1"/>
  <c r="Z257" i="41" s="1"/>
  <c r="Z262" i="41" s="1"/>
  <c r="AK257" i="41" a="1"/>
  <c r="AK257" i="41" s="1"/>
  <c r="AK262" i="41" s="1"/>
  <c r="L257" i="41" a="1"/>
  <c r="L257" i="41" s="1"/>
  <c r="L262" i="41" s="1"/>
  <c r="X257" i="41" a="1"/>
  <c r="X257" i="41" s="1"/>
  <c r="X262" i="41" s="1"/>
  <c r="AH257" i="41" a="1"/>
  <c r="AH257" i="41" s="1"/>
  <c r="AH262" i="41" s="1"/>
  <c r="AM257" i="41" a="1"/>
  <c r="AM257" i="41" s="1"/>
  <c r="AM262" i="41" s="1"/>
  <c r="Y257" i="41" a="1"/>
  <c r="Y257" i="41" s="1"/>
  <c r="Y262" i="41" s="1"/>
  <c r="AN257" i="41" a="1"/>
  <c r="AN257" i="41" s="1"/>
  <c r="AN262" i="41" s="1"/>
  <c r="AF257" i="41" a="1"/>
  <c r="AF257" i="41" s="1"/>
  <c r="AF262" i="41" s="1"/>
  <c r="Q257" i="41" a="1"/>
  <c r="Q257" i="41" s="1"/>
  <c r="Q262" i="41" s="1"/>
  <c r="AA277" i="41"/>
  <c r="AA282" i="41" s="1"/>
  <c r="V277" i="41"/>
  <c r="V282" i="41" s="1"/>
  <c r="U330" i="41" l="1"/>
  <c r="V298" i="41"/>
  <c r="M330" i="41"/>
  <c r="M332" i="41" s="1"/>
  <c r="M334" i="41" s="1"/>
  <c r="M298" i="41"/>
  <c r="M300" i="41" s="1"/>
  <c r="M302" i="41" s="1"/>
  <c r="M304" i="41" s="1"/>
  <c r="M391" i="41" s="1"/>
  <c r="AE309" i="41"/>
  <c r="AE308" i="41"/>
  <c r="N308" i="41"/>
  <c r="Z330" i="41"/>
  <c r="Y330" i="41"/>
  <c r="AF308" i="41"/>
  <c r="AF309" i="41"/>
  <c r="N309" i="41"/>
  <c r="Z298" i="41"/>
  <c r="U298" i="41"/>
  <c r="T330" i="41"/>
  <c r="AA298" i="41"/>
  <c r="X298" i="41"/>
  <c r="S364" i="41"/>
  <c r="S366" i="41" s="1"/>
  <c r="X364" i="41"/>
  <c r="X366" i="41" s="1"/>
  <c r="S298" i="41"/>
  <c r="X330" i="41"/>
  <c r="S330" i="41"/>
  <c r="AN398" i="41"/>
  <c r="AN422" i="41" s="1"/>
  <c r="AN426" i="41" s="1"/>
  <c r="AN321" i="41"/>
  <c r="AN323" i="41" s="1"/>
  <c r="AN353" i="41"/>
  <c r="AN355" i="41" s="1"/>
  <c r="AC307" i="41"/>
  <c r="AC321" i="41"/>
  <c r="AC323" i="41" s="1"/>
  <c r="AC325" i="41" s="1"/>
  <c r="AC327" i="41" s="1"/>
  <c r="AC336" i="41" s="1"/>
  <c r="AC392" i="41" s="1"/>
  <c r="AC353" i="41"/>
  <c r="AC355" i="41" s="1"/>
  <c r="AC357" i="41" s="1"/>
  <c r="AC359" i="41" s="1"/>
  <c r="AC368" i="41" s="1"/>
  <c r="AD321" i="41"/>
  <c r="AD323" i="41" s="1"/>
  <c r="AD325" i="41" s="1"/>
  <c r="AD327" i="41" s="1"/>
  <c r="AD336" i="41" s="1"/>
  <c r="AD392" i="41" s="1"/>
  <c r="AD353" i="41"/>
  <c r="AD355" i="41" s="1"/>
  <c r="AD357" i="41" s="1"/>
  <c r="AD359" i="41" s="1"/>
  <c r="AD368" i="41" s="1"/>
  <c r="AD307" i="41"/>
  <c r="S321" i="41"/>
  <c r="S323" i="41" s="1"/>
  <c r="S353" i="41"/>
  <c r="S355" i="41" s="1"/>
  <c r="O308" i="41"/>
  <c r="M195" i="105"/>
  <c r="M117" i="105"/>
  <c r="O309" i="41"/>
  <c r="J309" i="41"/>
  <c r="AA330" i="41"/>
  <c r="Y321" i="41"/>
  <c r="Y323" i="41" s="1"/>
  <c r="Y353" i="41"/>
  <c r="Y355" i="41" s="1"/>
  <c r="AA353" i="41"/>
  <c r="AA355" i="41" s="1"/>
  <c r="AA321" i="41"/>
  <c r="AA323" i="41" s="1"/>
  <c r="AO398" i="41"/>
  <c r="AO422" i="41" s="1"/>
  <c r="AO426" i="41" s="1"/>
  <c r="AO321" i="41"/>
  <c r="AO323" i="41" s="1"/>
  <c r="AO353" i="41"/>
  <c r="AO355" i="41" s="1"/>
  <c r="AI398" i="41"/>
  <c r="AI422" i="41" s="1"/>
  <c r="AI426" i="41" s="1"/>
  <c r="AI353" i="41"/>
  <c r="AI355" i="41" s="1"/>
  <c r="AI321" i="41"/>
  <c r="AI323" i="41" s="1"/>
  <c r="AD308" i="41"/>
  <c r="T298" i="41"/>
  <c r="AM398" i="41"/>
  <c r="AM422" i="41" s="1"/>
  <c r="AM426" i="41" s="1"/>
  <c r="AM321" i="41"/>
  <c r="AM323" i="41" s="1"/>
  <c r="AM353" i="41"/>
  <c r="AM355" i="41" s="1"/>
  <c r="V353" i="41"/>
  <c r="V355" i="41" s="1"/>
  <c r="V321" i="41"/>
  <c r="V323" i="41" s="1"/>
  <c r="M353" i="41"/>
  <c r="M355" i="41" s="1"/>
  <c r="M357" i="41" s="1"/>
  <c r="M359" i="41" s="1"/>
  <c r="M368" i="41" s="1"/>
  <c r="M321" i="41"/>
  <c r="M323" i="41" s="1"/>
  <c r="M325" i="41" s="1"/>
  <c r="M327" i="41" s="1"/>
  <c r="AE353" i="41"/>
  <c r="AE355" i="41" s="1"/>
  <c r="AE357" i="41" s="1"/>
  <c r="AE359" i="41" s="1"/>
  <c r="AE368" i="41" s="1"/>
  <c r="AE307" i="41"/>
  <c r="AE321" i="41"/>
  <c r="AE323" i="41" s="1"/>
  <c r="AE325" i="41" s="1"/>
  <c r="AE327" i="41" s="1"/>
  <c r="AE336" i="41" s="1"/>
  <c r="Y364" i="41"/>
  <c r="Y366" i="41" s="1"/>
  <c r="T364" i="41"/>
  <c r="T366" i="41" s="1"/>
  <c r="AC308" i="41"/>
  <c r="J308" i="41"/>
  <c r="M184" i="105"/>
  <c r="M107" i="105"/>
  <c r="Y298" i="41"/>
  <c r="AH398" i="41"/>
  <c r="AH422" i="41" s="1"/>
  <c r="AH426" i="41" s="1"/>
  <c r="AH321" i="41"/>
  <c r="AH323" i="41" s="1"/>
  <c r="AH353" i="41"/>
  <c r="AH355" i="41" s="1"/>
  <c r="N307" i="41"/>
  <c r="N353" i="41"/>
  <c r="N355" i="41" s="1"/>
  <c r="N357" i="41" s="1"/>
  <c r="N359" i="41" s="1"/>
  <c r="N368" i="41" s="1"/>
  <c r="N321" i="41"/>
  <c r="N323" i="41" s="1"/>
  <c r="N325" i="41" s="1"/>
  <c r="N327" i="41" s="1"/>
  <c r="N336" i="41" s="1"/>
  <c r="U321" i="41"/>
  <c r="U323" i="41" s="1"/>
  <c r="U353" i="41"/>
  <c r="U355" i="41" s="1"/>
  <c r="AG321" i="41"/>
  <c r="AG323" i="41" s="1"/>
  <c r="AG325" i="41" s="1"/>
  <c r="AG327" i="41" s="1"/>
  <c r="AG307" i="41"/>
  <c r="AG353" i="41"/>
  <c r="AG355" i="41" s="1"/>
  <c r="AG357" i="41" s="1"/>
  <c r="AG359" i="41" s="1"/>
  <c r="P309" i="41"/>
  <c r="AD309" i="41"/>
  <c r="AG309" i="41"/>
  <c r="AG341" i="41"/>
  <c r="AG373" i="41"/>
  <c r="AG375" i="41" s="1"/>
  <c r="AG386" i="41" s="1"/>
  <c r="X321" i="41"/>
  <c r="X323" i="41" s="1"/>
  <c r="X353" i="41"/>
  <c r="X355" i="41" s="1"/>
  <c r="P353" i="41"/>
  <c r="P355" i="41" s="1"/>
  <c r="P357" i="41" s="1"/>
  <c r="P359" i="41" s="1"/>
  <c r="P368" i="41" s="1"/>
  <c r="P307" i="41"/>
  <c r="P321" i="41"/>
  <c r="P323" i="41" s="1"/>
  <c r="P325" i="41" s="1"/>
  <c r="P327" i="41" s="1"/>
  <c r="P336" i="41" s="1"/>
  <c r="P392" i="41" s="1"/>
  <c r="AB398" i="41"/>
  <c r="AB422" i="41" s="1"/>
  <c r="AB426" i="41" s="1"/>
  <c r="AB353" i="41"/>
  <c r="AB355" i="41" s="1"/>
  <c r="AB321" i="41"/>
  <c r="AB323" i="41" s="1"/>
  <c r="J307" i="41"/>
  <c r="J321" i="41"/>
  <c r="J323" i="41" s="1"/>
  <c r="J325" i="41" s="1"/>
  <c r="J327" i="41" s="1"/>
  <c r="J336" i="41" s="1"/>
  <c r="J392" i="41" s="1"/>
  <c r="J353" i="41"/>
  <c r="J355" i="41" s="1"/>
  <c r="J357" i="41" s="1"/>
  <c r="J359" i="41" s="1"/>
  <c r="J368" i="41" s="1"/>
  <c r="J393" i="41" s="1"/>
  <c r="L398" i="41"/>
  <c r="L422" i="41" s="1"/>
  <c r="L426" i="41" s="1"/>
  <c r="L353" i="41"/>
  <c r="L355" i="41" s="1"/>
  <c r="L321" i="41"/>
  <c r="L323" i="41" s="1"/>
  <c r="AL398" i="41"/>
  <c r="AL422" i="41" s="1"/>
  <c r="AL426" i="41" s="1"/>
  <c r="AL353" i="41"/>
  <c r="AL355" i="41" s="1"/>
  <c r="AL321" i="41"/>
  <c r="AL323" i="41" s="1"/>
  <c r="R398" i="41"/>
  <c r="R422" i="41" s="1"/>
  <c r="R426" i="41" s="1"/>
  <c r="R353" i="41"/>
  <c r="R355" i="41" s="1"/>
  <c r="R321" i="41"/>
  <c r="R323" i="41" s="1"/>
  <c r="K398" i="41"/>
  <c r="K422" i="41" s="1"/>
  <c r="K426" i="41" s="1"/>
  <c r="K353" i="41"/>
  <c r="K355" i="41" s="1"/>
  <c r="K321" i="41"/>
  <c r="K323" i="41" s="1"/>
  <c r="AC309" i="41"/>
  <c r="Q398" i="41"/>
  <c r="Q422" i="41" s="1"/>
  <c r="Q426" i="41" s="1"/>
  <c r="Q321" i="41"/>
  <c r="Q323" i="41" s="1"/>
  <c r="Q353" i="41"/>
  <c r="Q355" i="41" s="1"/>
  <c r="AK321" i="41"/>
  <c r="AK323" i="41" s="1"/>
  <c r="AK398" i="41"/>
  <c r="AK422" i="41" s="1"/>
  <c r="AK426" i="41" s="1"/>
  <c r="AK353" i="41"/>
  <c r="AK355" i="41" s="1"/>
  <c r="AJ398" i="41"/>
  <c r="AJ422" i="41" s="1"/>
  <c r="AJ426" i="41" s="1"/>
  <c r="AJ321" i="41"/>
  <c r="AJ323" i="41" s="1"/>
  <c r="AJ353" i="41"/>
  <c r="AJ355" i="41" s="1"/>
  <c r="O307" i="41"/>
  <c r="O353" i="41"/>
  <c r="O355" i="41" s="1"/>
  <c r="O357" i="41" s="1"/>
  <c r="O359" i="41" s="1"/>
  <c r="O368" i="41" s="1"/>
  <c r="O321" i="41"/>
  <c r="O323" i="41" s="1"/>
  <c r="O325" i="41" s="1"/>
  <c r="O327" i="41" s="1"/>
  <c r="O336" i="41" s="1"/>
  <c r="AG340" i="41"/>
  <c r="AG308" i="41"/>
  <c r="AF321" i="41"/>
  <c r="AF323" i="41" s="1"/>
  <c r="AF325" i="41" s="1"/>
  <c r="AF327" i="41" s="1"/>
  <c r="AF336" i="41" s="1"/>
  <c r="AF353" i="41"/>
  <c r="AF355" i="41" s="1"/>
  <c r="AF357" i="41" s="1"/>
  <c r="AF359" i="41" s="1"/>
  <c r="AF368" i="41" s="1"/>
  <c r="AF307" i="41"/>
  <c r="Z353" i="41"/>
  <c r="Z355" i="41" s="1"/>
  <c r="Z321" i="41"/>
  <c r="Z323" i="41" s="1"/>
  <c r="T353" i="41"/>
  <c r="T355" i="41" s="1"/>
  <c r="T321" i="41"/>
  <c r="T323" i="41" s="1"/>
  <c r="W398" i="41"/>
  <c r="W422" i="41" s="1"/>
  <c r="W426" i="41" s="1"/>
  <c r="W321" i="41"/>
  <c r="W323" i="41" s="1"/>
  <c r="W353" i="41"/>
  <c r="W355" i="41" s="1"/>
  <c r="V364" i="41"/>
  <c r="V366" i="41" s="1"/>
  <c r="AA364" i="41"/>
  <c r="AA366" i="41" s="1"/>
  <c r="P308" i="41"/>
  <c r="V330" i="41"/>
  <c r="U364" i="41"/>
  <c r="U366" i="41" s="1"/>
  <c r="Z364" i="41"/>
  <c r="Z366" i="41" s="1"/>
  <c r="M336" i="41" l="1"/>
  <c r="M340" i="41" s="1"/>
  <c r="Z332" i="41"/>
  <c r="Z334" i="41" s="1"/>
  <c r="V300" i="41"/>
  <c r="V302" i="41" s="1"/>
  <c r="V304" i="41" s="1"/>
  <c r="V309" i="41" s="1"/>
  <c r="AA300" i="41"/>
  <c r="AA302" i="41" s="1"/>
  <c r="AA304" i="41" s="1"/>
  <c r="AA391" i="41" s="1"/>
  <c r="AE311" i="41"/>
  <c r="AE384" i="41" s="1"/>
  <c r="U300" i="41"/>
  <c r="U302" i="41" s="1"/>
  <c r="U304" i="41" s="1"/>
  <c r="U308" i="41" s="1"/>
  <c r="M307" i="41"/>
  <c r="M309" i="41"/>
  <c r="M308" i="41"/>
  <c r="U332" i="41"/>
  <c r="U334" i="41" s="1"/>
  <c r="T332" i="41"/>
  <c r="T334" i="41" s="1"/>
  <c r="Y332" i="41"/>
  <c r="Y334" i="41" s="1"/>
  <c r="Z300" i="41"/>
  <c r="Z302" i="41" s="1"/>
  <c r="Z304" i="41" s="1"/>
  <c r="Z391" i="41" s="1"/>
  <c r="P340" i="41"/>
  <c r="N311" i="41"/>
  <c r="N384" i="41" s="1"/>
  <c r="O311" i="41"/>
  <c r="O384" i="41" s="1"/>
  <c r="AF311" i="41"/>
  <c r="AF384" i="41" s="1"/>
  <c r="X332" i="41"/>
  <c r="X334" i="41" s="1"/>
  <c r="AG343" i="41"/>
  <c r="AG385" i="41" s="1"/>
  <c r="S332" i="41"/>
  <c r="S334" i="41" s="1"/>
  <c r="AG311" i="41"/>
  <c r="AG384" i="41" s="1"/>
  <c r="P341" i="41"/>
  <c r="P343" i="41" s="1"/>
  <c r="P385" i="41" s="1"/>
  <c r="J373" i="41"/>
  <c r="J375" i="41" s="1"/>
  <c r="J386" i="41" s="1"/>
  <c r="S300" i="41"/>
  <c r="S302" i="41" s="1"/>
  <c r="S304" i="41" s="1"/>
  <c r="X300" i="41"/>
  <c r="X302" i="41" s="1"/>
  <c r="X304" i="41" s="1"/>
  <c r="O392" i="41"/>
  <c r="O340" i="41"/>
  <c r="O341" i="41"/>
  <c r="U357" i="41"/>
  <c r="U359" i="41" s="1"/>
  <c r="U368" i="41" s="1"/>
  <c r="Z357" i="41"/>
  <c r="Z359" i="41" s="1"/>
  <c r="Z368" i="41" s="1"/>
  <c r="R325" i="41"/>
  <c r="R327" i="41" s="1"/>
  <c r="AH325" i="41"/>
  <c r="AH327" i="41" s="1"/>
  <c r="AK325" i="41"/>
  <c r="AK327" i="41" s="1"/>
  <c r="AO325" i="41"/>
  <c r="AO327" i="41" s="1"/>
  <c r="K325" i="41"/>
  <c r="K327" i="41" s="1"/>
  <c r="AL325" i="41"/>
  <c r="AL327" i="41" s="1"/>
  <c r="AB325" i="41"/>
  <c r="AB327" i="41" s="1"/>
  <c r="AN325" i="41"/>
  <c r="AN327" i="41" s="1"/>
  <c r="AM325" i="41"/>
  <c r="AM327" i="41" s="1"/>
  <c r="Q325" i="41"/>
  <c r="Q327" i="41" s="1"/>
  <c r="W325" i="41"/>
  <c r="W327" i="41" s="1"/>
  <c r="AJ325" i="41"/>
  <c r="AJ327" i="41" s="1"/>
  <c r="L325" i="41"/>
  <c r="L327" i="41" s="1"/>
  <c r="AI325" i="41"/>
  <c r="AI327" i="41" s="1"/>
  <c r="Z325" i="41"/>
  <c r="Z327" i="41" s="1"/>
  <c r="U325" i="41"/>
  <c r="U327" i="41" s="1"/>
  <c r="AE392" i="41"/>
  <c r="AE340" i="41"/>
  <c r="AE341" i="41"/>
  <c r="AD393" i="41"/>
  <c r="AD373" i="41"/>
  <c r="AD375" i="41" s="1"/>
  <c r="AD386" i="41" s="1"/>
  <c r="N392" i="41"/>
  <c r="N341" i="41"/>
  <c r="N340" i="41"/>
  <c r="AF393" i="41"/>
  <c r="AF373" i="41"/>
  <c r="AF375" i="41" s="1"/>
  <c r="AF386" i="41" s="1"/>
  <c r="AF392" i="41"/>
  <c r="AF340" i="41"/>
  <c r="AF341" i="41"/>
  <c r="N393" i="41"/>
  <c r="N373" i="41"/>
  <c r="N375" i="41" s="1"/>
  <c r="N386" i="41" s="1"/>
  <c r="AE393" i="41"/>
  <c r="AE373" i="41"/>
  <c r="AE375" i="41" s="1"/>
  <c r="AE386" i="41" s="1"/>
  <c r="AC393" i="41"/>
  <c r="AC373" i="41"/>
  <c r="AC375" i="41" s="1"/>
  <c r="AC386" i="41" s="1"/>
  <c r="AC341" i="41"/>
  <c r="P311" i="41"/>
  <c r="P384" i="41" s="1"/>
  <c r="J340" i="41"/>
  <c r="Y300" i="41"/>
  <c r="Y302" i="41" s="1"/>
  <c r="Y304" i="41" s="1"/>
  <c r="T300" i="41"/>
  <c r="T302" i="41" s="1"/>
  <c r="T304" i="41" s="1"/>
  <c r="L357" i="41"/>
  <c r="L359" i="41" s="1"/>
  <c r="AH357" i="41"/>
  <c r="AH359" i="41" s="1"/>
  <c r="K357" i="41"/>
  <c r="K359" i="41" s="1"/>
  <c r="Q357" i="41"/>
  <c r="Q359" i="41" s="1"/>
  <c r="R357" i="41"/>
  <c r="R359" i="41" s="1"/>
  <c r="W357" i="41"/>
  <c r="W359" i="41" s="1"/>
  <c r="AB357" i="41"/>
  <c r="AB359" i="41" s="1"/>
  <c r="AM357" i="41"/>
  <c r="AM359" i="41" s="1"/>
  <c r="AL357" i="41"/>
  <c r="AL359" i="41" s="1"/>
  <c r="AK357" i="41"/>
  <c r="AK359" i="41" s="1"/>
  <c r="AJ357" i="41"/>
  <c r="AJ359" i="41" s="1"/>
  <c r="AN357" i="41"/>
  <c r="AN359" i="41" s="1"/>
  <c r="AO357" i="41"/>
  <c r="AO359" i="41" s="1"/>
  <c r="AI357" i="41"/>
  <c r="AI359" i="41" s="1"/>
  <c r="AA332" i="41"/>
  <c r="AA334" i="41" s="1"/>
  <c r="V332" i="41"/>
  <c r="V334" i="41" s="1"/>
  <c r="Y325" i="41"/>
  <c r="Y327" i="41" s="1"/>
  <c r="T325" i="41"/>
  <c r="T327" i="41" s="1"/>
  <c r="P393" i="41"/>
  <c r="P373" i="41"/>
  <c r="P375" i="41" s="1"/>
  <c r="P386" i="41" s="1"/>
  <c r="AC340" i="41"/>
  <c r="J341" i="41"/>
  <c r="AC311" i="41"/>
  <c r="AC384" i="41" s="1"/>
  <c r="M393" i="41"/>
  <c r="M373" i="41"/>
  <c r="M375" i="41" s="1"/>
  <c r="M386" i="41" s="1"/>
  <c r="S357" i="41"/>
  <c r="S359" i="41" s="1"/>
  <c r="S368" i="41" s="1"/>
  <c r="X357" i="41"/>
  <c r="X359" i="41" s="1"/>
  <c r="X368" i="41" s="1"/>
  <c r="T357" i="41"/>
  <c r="T359" i="41" s="1"/>
  <c r="T368" i="41" s="1"/>
  <c r="Y357" i="41"/>
  <c r="Y359" i="41" s="1"/>
  <c r="Y368" i="41" s="1"/>
  <c r="O393" i="41"/>
  <c r="O373" i="41"/>
  <c r="O375" i="41" s="1"/>
  <c r="O386" i="41" s="1"/>
  <c r="J311" i="41"/>
  <c r="J384" i="41" s="1"/>
  <c r="AD341" i="41"/>
  <c r="V325" i="41"/>
  <c r="V327" i="41" s="1"/>
  <c r="AA325" i="41"/>
  <c r="AA327" i="41" s="1"/>
  <c r="AD340" i="41"/>
  <c r="X325" i="41"/>
  <c r="X327" i="41" s="1"/>
  <c r="S325" i="41"/>
  <c r="S327" i="41" s="1"/>
  <c r="AA357" i="41"/>
  <c r="AA359" i="41" s="1"/>
  <c r="AA368" i="41" s="1"/>
  <c r="V357" i="41"/>
  <c r="V359" i="41" s="1"/>
  <c r="V368" i="41" s="1"/>
  <c r="AD311" i="41"/>
  <c r="AD384" i="41" s="1"/>
  <c r="M392" i="41" l="1"/>
  <c r="M341" i="41"/>
  <c r="Z336" i="41"/>
  <c r="Z341" i="41" s="1"/>
  <c r="U309" i="41"/>
  <c r="U391" i="41"/>
  <c r="AA307" i="41"/>
  <c r="AC343" i="41"/>
  <c r="AC385" i="41" s="1"/>
  <c r="AC388" i="41" s="1"/>
  <c r="AC395" i="41" s="1"/>
  <c r="Y336" i="41"/>
  <c r="Y392" i="41" s="1"/>
  <c r="AA308" i="41"/>
  <c r="U307" i="41"/>
  <c r="V308" i="41"/>
  <c r="V391" i="41"/>
  <c r="V307" i="41"/>
  <c r="U336" i="41"/>
  <c r="U341" i="41" s="1"/>
  <c r="AA309" i="41"/>
  <c r="M311" i="41"/>
  <c r="M384" i="41" s="1"/>
  <c r="Z309" i="41"/>
  <c r="T336" i="41"/>
  <c r="T340" i="41" s="1"/>
  <c r="Z307" i="41"/>
  <c r="Z308" i="41"/>
  <c r="X336" i="41"/>
  <c r="X392" i="41" s="1"/>
  <c r="S336" i="41"/>
  <c r="S392" i="41" s="1"/>
  <c r="AG388" i="41"/>
  <c r="AG395" i="41" s="1"/>
  <c r="AA336" i="41"/>
  <c r="AA392" i="41" s="1"/>
  <c r="X391" i="41"/>
  <c r="X308" i="41"/>
  <c r="X309" i="41"/>
  <c r="X307" i="41"/>
  <c r="AE343" i="41"/>
  <c r="AE385" i="41" s="1"/>
  <c r="AE388" i="41" s="1"/>
  <c r="AE395" i="41" s="1"/>
  <c r="S309" i="41"/>
  <c r="S391" i="41"/>
  <c r="S308" i="41"/>
  <c r="S307" i="41"/>
  <c r="X373" i="41"/>
  <c r="X375" i="41" s="1"/>
  <c r="X386" i="41" s="1"/>
  <c r="X393" i="41"/>
  <c r="S393" i="41"/>
  <c r="S373" i="41"/>
  <c r="S375" i="41" s="1"/>
  <c r="J343" i="41"/>
  <c r="J385" i="41" s="1"/>
  <c r="J388" i="41" s="1"/>
  <c r="J395" i="41" s="1"/>
  <c r="N343" i="41"/>
  <c r="N385" i="41" s="1"/>
  <c r="N388" i="41" s="1"/>
  <c r="N395" i="41" s="1"/>
  <c r="V373" i="41"/>
  <c r="V375" i="41" s="1"/>
  <c r="V386" i="41" s="1"/>
  <c r="V393" i="41"/>
  <c r="Z392" i="41"/>
  <c r="Z340" i="41"/>
  <c r="AA393" i="41"/>
  <c r="AA373" i="41"/>
  <c r="AA375" i="41" s="1"/>
  <c r="AA386" i="41" s="1"/>
  <c r="V336" i="41"/>
  <c r="T391" i="41"/>
  <c r="T309" i="41"/>
  <c r="T307" i="41"/>
  <c r="T308" i="41"/>
  <c r="AF343" i="41"/>
  <c r="AF385" i="41" s="1"/>
  <c r="AF388" i="41" s="1"/>
  <c r="AF395" i="41" s="1"/>
  <c r="Y393" i="41"/>
  <c r="Y373" i="41"/>
  <c r="Y375" i="41" s="1"/>
  <c r="Y386" i="41" s="1"/>
  <c r="Y391" i="41"/>
  <c r="Y308" i="41"/>
  <c r="Y307" i="41"/>
  <c r="Y309" i="41"/>
  <c r="AD343" i="41"/>
  <c r="AD385" i="41" s="1"/>
  <c r="AD388" i="41" s="1"/>
  <c r="AD395" i="41" s="1"/>
  <c r="T373" i="41"/>
  <c r="T375" i="41" s="1"/>
  <c r="T386" i="41" s="1"/>
  <c r="T393" i="41"/>
  <c r="P388" i="41"/>
  <c r="P395" i="41" s="1"/>
  <c r="Z393" i="41"/>
  <c r="Z373" i="41"/>
  <c r="Z375" i="41" s="1"/>
  <c r="Z386" i="41" s="1"/>
  <c r="O343" i="41"/>
  <c r="O385" i="41" s="1"/>
  <c r="O388" i="41" s="1"/>
  <c r="O395" i="41" s="1"/>
  <c r="M343" i="41"/>
  <c r="M385" i="41" s="1"/>
  <c r="U393" i="41"/>
  <c r="U373" i="41"/>
  <c r="U375" i="41" s="1"/>
  <c r="U386" i="41" s="1"/>
  <c r="U311" i="41" l="1"/>
  <c r="U384" i="41" s="1"/>
  <c r="Y340" i="41"/>
  <c r="Y341" i="41"/>
  <c r="AA311" i="41"/>
  <c r="AA384" i="41" s="1"/>
  <c r="T392" i="41"/>
  <c r="U340" i="41"/>
  <c r="U343" i="41" s="1"/>
  <c r="U385" i="41" s="1"/>
  <c r="U388" i="41" s="1"/>
  <c r="U395" i="41" s="1"/>
  <c r="U392" i="41"/>
  <c r="Z311" i="41"/>
  <c r="Z384" i="41" s="1"/>
  <c r="V311" i="41"/>
  <c r="V384" i="41" s="1"/>
  <c r="M388" i="41"/>
  <c r="M395" i="41" s="1"/>
  <c r="M400" i="41" s="1"/>
  <c r="M403" i="41" s="1"/>
  <c r="M412" i="41" s="1"/>
  <c r="M32" i="65" s="1"/>
  <c r="M110" i="65" s="1"/>
  <c r="T341" i="41"/>
  <c r="T343" i="41" s="1"/>
  <c r="T385" i="41" s="1"/>
  <c r="X340" i="41"/>
  <c r="X341" i="41"/>
  <c r="S341" i="41"/>
  <c r="S340" i="41"/>
  <c r="X311" i="41"/>
  <c r="X384" i="41" s="1"/>
  <c r="AA341" i="41"/>
  <c r="AA340" i="41"/>
  <c r="AG400" i="41"/>
  <c r="AG398" i="41"/>
  <c r="AG399" i="41"/>
  <c r="AC398" i="41"/>
  <c r="AC399" i="41"/>
  <c r="AC404" i="41" s="1"/>
  <c r="AC413" i="41" s="1"/>
  <c r="AC33" i="65" s="1"/>
  <c r="AC111" i="65" s="1"/>
  <c r="AC400" i="41"/>
  <c r="AC403" i="41" s="1"/>
  <c r="AC412" i="41" s="1"/>
  <c r="AC32" i="65" s="1"/>
  <c r="AC110" i="65" s="1"/>
  <c r="T311" i="41"/>
  <c r="T384" i="41" s="1"/>
  <c r="S311" i="41"/>
  <c r="S384" i="41" s="1"/>
  <c r="J399" i="41"/>
  <c r="J404" i="41" s="1"/>
  <c r="J413" i="41" s="1"/>
  <c r="J33" i="65" s="1"/>
  <c r="J111" i="65" s="1"/>
  <c r="J400" i="41"/>
  <c r="J403" i="41" s="1"/>
  <c r="J412" i="41" s="1"/>
  <c r="J32" i="65" s="1"/>
  <c r="J110" i="65" s="1"/>
  <c r="J130" i="65" s="1"/>
  <c r="J159" i="65" s="1"/>
  <c r="J398" i="41"/>
  <c r="AD398" i="41"/>
  <c r="AD399" i="41"/>
  <c r="AD404" i="41" s="1"/>
  <c r="AD413" i="41" s="1"/>
  <c r="AD33" i="65" s="1"/>
  <c r="AD111" i="65" s="1"/>
  <c r="AD400" i="41"/>
  <c r="AD403" i="41" s="1"/>
  <c r="AD412" i="41" s="1"/>
  <c r="AD32" i="65" s="1"/>
  <c r="AD110" i="65" s="1"/>
  <c r="AE400" i="41"/>
  <c r="AE403" i="41" s="1"/>
  <c r="AE412" i="41" s="1"/>
  <c r="AE32" i="65" s="1"/>
  <c r="AE110" i="65" s="1"/>
  <c r="AE398" i="41"/>
  <c r="AE399" i="41"/>
  <c r="AE404" i="41" s="1"/>
  <c r="AE413" i="41" s="1"/>
  <c r="AE33" i="65" s="1"/>
  <c r="AE111" i="65" s="1"/>
  <c r="P399" i="41"/>
  <c r="P404" i="41" s="1"/>
  <c r="P413" i="41" s="1"/>
  <c r="P33" i="65" s="1"/>
  <c r="P111" i="65" s="1"/>
  <c r="P400" i="41"/>
  <c r="P403" i="41" s="1"/>
  <c r="P412" i="41" s="1"/>
  <c r="P32" i="65" s="1"/>
  <c r="P110" i="65" s="1"/>
  <c r="P398" i="41"/>
  <c r="AF400" i="41"/>
  <c r="AF403" i="41" s="1"/>
  <c r="AF412" i="41" s="1"/>
  <c r="AF32" i="65" s="1"/>
  <c r="AF110" i="65" s="1"/>
  <c r="AF399" i="41"/>
  <c r="AF404" i="41" s="1"/>
  <c r="AF413" i="41" s="1"/>
  <c r="AF33" i="65" s="1"/>
  <c r="AF111" i="65" s="1"/>
  <c r="AF398" i="41"/>
  <c r="Z343" i="41"/>
  <c r="Z385" i="41" s="1"/>
  <c r="N398" i="41"/>
  <c r="N400" i="41"/>
  <c r="N403" i="41" s="1"/>
  <c r="N412" i="41" s="1"/>
  <c r="N32" i="65" s="1"/>
  <c r="N110" i="65" s="1"/>
  <c r="N399" i="41"/>
  <c r="N404" i="41" s="1"/>
  <c r="N413" i="41" s="1"/>
  <c r="N33" i="65" s="1"/>
  <c r="N111" i="65" s="1"/>
  <c r="O400" i="41"/>
  <c r="O403" i="41" s="1"/>
  <c r="O412" i="41" s="1"/>
  <c r="O32" i="65" s="1"/>
  <c r="O110" i="65" s="1"/>
  <c r="O398" i="41"/>
  <c r="O399" i="41"/>
  <c r="O404" i="41" s="1"/>
  <c r="O413" i="41" s="1"/>
  <c r="O33" i="65" s="1"/>
  <c r="O111" i="65" s="1"/>
  <c r="Y343" i="41"/>
  <c r="Y385" i="41" s="1"/>
  <c r="S386" i="41"/>
  <c r="H428" i="41"/>
  <c r="Y311" i="41"/>
  <c r="Y384" i="41" s="1"/>
  <c r="V392" i="41"/>
  <c r="V341" i="41"/>
  <c r="V340" i="41"/>
  <c r="Z388" i="41" l="1"/>
  <c r="Z395" i="41" s="1"/>
  <c r="Z398" i="41" s="1"/>
  <c r="X343" i="41"/>
  <c r="X385" i="41" s="1"/>
  <c r="X388" i="41" s="1"/>
  <c r="X395" i="41" s="1"/>
  <c r="M399" i="41"/>
  <c r="M404" i="41" s="1"/>
  <c r="M413" i="41" s="1"/>
  <c r="M33" i="65" s="1"/>
  <c r="M111" i="65" s="1"/>
  <c r="M140" i="65" s="1"/>
  <c r="M169" i="65" s="1"/>
  <c r="M74" i="105" s="1"/>
  <c r="S343" i="41"/>
  <c r="S385" i="41" s="1"/>
  <c r="S388" i="41" s="1"/>
  <c r="S395" i="41" s="1"/>
  <c r="S399" i="41" s="1"/>
  <c r="S404" i="41" s="1"/>
  <c r="S413" i="41" s="1"/>
  <c r="S33" i="65" s="1"/>
  <c r="S111" i="65" s="1"/>
  <c r="M398" i="41"/>
  <c r="AA343" i="41"/>
  <c r="AA385" i="41" s="1"/>
  <c r="AA388" i="41" s="1"/>
  <c r="AA395" i="41" s="1"/>
  <c r="AA400" i="41" s="1"/>
  <c r="AA403" i="41" s="1"/>
  <c r="AA412" i="41" s="1"/>
  <c r="AA32" i="65" s="1"/>
  <c r="AA110" i="65" s="1"/>
  <c r="T388" i="41"/>
  <c r="T395" i="41" s="1"/>
  <c r="T398" i="41" s="1"/>
  <c r="T405" i="41" s="1"/>
  <c r="T414" i="41" s="1"/>
  <c r="T34" i="65" s="1"/>
  <c r="T112" i="65" s="1"/>
  <c r="T34" i="82" s="1"/>
  <c r="J121" i="65"/>
  <c r="J150" i="65" s="1"/>
  <c r="J55" i="105" s="1"/>
  <c r="J32" i="82"/>
  <c r="J139" i="65"/>
  <c r="J168" i="65" s="1"/>
  <c r="J73" i="105" s="1"/>
  <c r="AC122" i="65"/>
  <c r="AC151" i="65" s="1"/>
  <c r="AC56" i="105" s="1"/>
  <c r="AC96" i="105" s="1"/>
  <c r="AC140" i="65"/>
  <c r="AC169" i="65" s="1"/>
  <c r="AC74" i="105" s="1"/>
  <c r="AC33" i="82"/>
  <c r="AC139" i="65"/>
  <c r="AC168" i="65" s="1"/>
  <c r="AC73" i="105" s="1"/>
  <c r="AC121" i="65"/>
  <c r="AC150" i="65" s="1"/>
  <c r="AC55" i="105" s="1"/>
  <c r="AC95" i="105" s="1"/>
  <c r="AC32" i="82"/>
  <c r="AG422" i="41"/>
  <c r="AG426" i="41" s="1"/>
  <c r="AC422" i="41"/>
  <c r="AC426" i="41" s="1"/>
  <c r="AC405" i="41"/>
  <c r="AC414" i="41" s="1"/>
  <c r="AC34" i="65" s="1"/>
  <c r="AC112" i="65" s="1"/>
  <c r="Y388" i="41"/>
  <c r="Y395" i="41" s="1"/>
  <c r="Y399" i="41" s="1"/>
  <c r="Y404" i="41" s="1"/>
  <c r="Y413" i="41" s="1"/>
  <c r="Y33" i="65" s="1"/>
  <c r="Y111" i="65" s="1"/>
  <c r="J422" i="41"/>
  <c r="J405" i="41"/>
  <c r="J414" i="41" s="1"/>
  <c r="J34" i="65" s="1"/>
  <c r="J112" i="65" s="1"/>
  <c r="V343" i="41"/>
  <c r="V385" i="41" s="1"/>
  <c r="V388" i="41" s="1"/>
  <c r="V395" i="41" s="1"/>
  <c r="N140" i="65"/>
  <c r="N169" i="65" s="1"/>
  <c r="N74" i="105" s="1"/>
  <c r="N33" i="82"/>
  <c r="N122" i="65"/>
  <c r="N151" i="65" s="1"/>
  <c r="N56" i="105" s="1"/>
  <c r="N96" i="105" s="1"/>
  <c r="N131" i="65"/>
  <c r="N160" i="65" s="1"/>
  <c r="N65" i="105" s="1"/>
  <c r="AF422" i="41"/>
  <c r="AF426" i="41" s="1"/>
  <c r="AF405" i="41"/>
  <c r="AF414" i="41" s="1"/>
  <c r="AF34" i="65" s="1"/>
  <c r="AF112" i="65" s="1"/>
  <c r="AE422" i="41"/>
  <c r="AE426" i="41" s="1"/>
  <c r="AE405" i="41"/>
  <c r="AE414" i="41" s="1"/>
  <c r="AE34" i="65" s="1"/>
  <c r="AE112" i="65" s="1"/>
  <c r="N121" i="65"/>
  <c r="N150" i="65" s="1"/>
  <c r="N55" i="105" s="1"/>
  <c r="N95" i="105" s="1"/>
  <c r="N139" i="65"/>
  <c r="N168" i="65" s="1"/>
  <c r="N73" i="105" s="1"/>
  <c r="N32" i="82"/>
  <c r="N130" i="65"/>
  <c r="N159" i="65" s="1"/>
  <c r="N64" i="105" s="1"/>
  <c r="AE32" i="82"/>
  <c r="AE121" i="65"/>
  <c r="AE150" i="65" s="1"/>
  <c r="AE55" i="105" s="1"/>
  <c r="AE95" i="105" s="1"/>
  <c r="AE139" i="65"/>
  <c r="AE168" i="65" s="1"/>
  <c r="AE73" i="105" s="1"/>
  <c r="O140" i="65"/>
  <c r="O169" i="65" s="1"/>
  <c r="O74" i="105" s="1"/>
  <c r="O33" i="82"/>
  <c r="O122" i="65"/>
  <c r="O151" i="65" s="1"/>
  <c r="O56" i="105" s="1"/>
  <c r="O96" i="105" s="1"/>
  <c r="O131" i="65"/>
  <c r="O160" i="65" s="1"/>
  <c r="O65" i="105" s="1"/>
  <c r="N405" i="41"/>
  <c r="N414" i="41" s="1"/>
  <c r="N34" i="65" s="1"/>
  <c r="N112" i="65" s="1"/>
  <c r="N422" i="41"/>
  <c r="N426" i="41" s="1"/>
  <c r="AF32" i="82"/>
  <c r="AF121" i="65"/>
  <c r="AF150" i="65" s="1"/>
  <c r="AF55" i="105" s="1"/>
  <c r="AF95" i="105" s="1"/>
  <c r="AF139" i="65"/>
  <c r="AF168" i="65" s="1"/>
  <c r="AF73" i="105" s="1"/>
  <c r="AD139" i="65"/>
  <c r="AD168" i="65" s="1"/>
  <c r="AD73" i="105" s="1"/>
  <c r="AD32" i="82"/>
  <c r="AD121" i="65"/>
  <c r="AD150" i="65" s="1"/>
  <c r="AD55" i="105" s="1"/>
  <c r="AD95" i="105" s="1"/>
  <c r="AF122" i="65"/>
  <c r="AF151" i="65" s="1"/>
  <c r="AF56" i="105" s="1"/>
  <c r="AF96" i="105" s="1"/>
  <c r="AF140" i="65"/>
  <c r="AF169" i="65" s="1"/>
  <c r="AF74" i="105" s="1"/>
  <c r="AF33" i="82"/>
  <c r="O422" i="41"/>
  <c r="O426" i="41" s="1"/>
  <c r="O405" i="41"/>
  <c r="O414" i="41" s="1"/>
  <c r="O34" i="65" s="1"/>
  <c r="O112" i="65" s="1"/>
  <c r="U400" i="41"/>
  <c r="U403" i="41" s="1"/>
  <c r="U412" i="41" s="1"/>
  <c r="U32" i="65" s="1"/>
  <c r="U110" i="65" s="1"/>
  <c r="U398" i="41"/>
  <c r="U399" i="41"/>
  <c r="U404" i="41" s="1"/>
  <c r="U413" i="41" s="1"/>
  <c r="U33" i="65" s="1"/>
  <c r="U111" i="65" s="1"/>
  <c r="P422" i="41"/>
  <c r="P426" i="41" s="1"/>
  <c r="P405" i="41"/>
  <c r="P414" i="41" s="1"/>
  <c r="P34" i="65" s="1"/>
  <c r="P112" i="65" s="1"/>
  <c r="AD122" i="65"/>
  <c r="AD151" i="65" s="1"/>
  <c r="AD56" i="105" s="1"/>
  <c r="AD96" i="105" s="1"/>
  <c r="AD33" i="82"/>
  <c r="AD140" i="65"/>
  <c r="AD169" i="65" s="1"/>
  <c r="AD74" i="105" s="1"/>
  <c r="O32" i="82"/>
  <c r="O121" i="65"/>
  <c r="O150" i="65" s="1"/>
  <c r="O55" i="105" s="1"/>
  <c r="O95" i="105" s="1"/>
  <c r="O130" i="65"/>
  <c r="O159" i="65" s="1"/>
  <c r="O64" i="105" s="1"/>
  <c r="O139" i="65"/>
  <c r="O168" i="65" s="1"/>
  <c r="O73" i="105" s="1"/>
  <c r="M121" i="65"/>
  <c r="M150" i="65" s="1"/>
  <c r="M55" i="105" s="1"/>
  <c r="M95" i="105" s="1"/>
  <c r="M130" i="65"/>
  <c r="M159" i="65" s="1"/>
  <c r="M64" i="105" s="1"/>
  <c r="M139" i="65"/>
  <c r="M168" i="65" s="1"/>
  <c r="M73" i="105" s="1"/>
  <c r="M32" i="82"/>
  <c r="P121" i="65"/>
  <c r="P150" i="65" s="1"/>
  <c r="P55" i="105" s="1"/>
  <c r="P95" i="105" s="1"/>
  <c r="P130" i="65"/>
  <c r="P159" i="65" s="1"/>
  <c r="P64" i="105" s="1"/>
  <c r="P139" i="65"/>
  <c r="P168" i="65" s="1"/>
  <c r="P73" i="105" s="1"/>
  <c r="P32" i="82"/>
  <c r="AD422" i="41"/>
  <c r="AD426" i="41" s="1"/>
  <c r="AD405" i="41"/>
  <c r="AD414" i="41" s="1"/>
  <c r="AD34" i="65" s="1"/>
  <c r="AD112" i="65" s="1"/>
  <c r="P122" i="65"/>
  <c r="P151" i="65" s="1"/>
  <c r="P56" i="105" s="1"/>
  <c r="P96" i="105" s="1"/>
  <c r="P131" i="65"/>
  <c r="P160" i="65" s="1"/>
  <c r="P65" i="105" s="1"/>
  <c r="P33" i="82"/>
  <c r="P140" i="65"/>
  <c r="P169" i="65" s="1"/>
  <c r="P74" i="105" s="1"/>
  <c r="AE33" i="82"/>
  <c r="AE140" i="65"/>
  <c r="AE169" i="65" s="1"/>
  <c r="AE74" i="105" s="1"/>
  <c r="AE122" i="65"/>
  <c r="AE151" i="65" s="1"/>
  <c r="AE56" i="105" s="1"/>
  <c r="AE96" i="105" s="1"/>
  <c r="J131" i="65"/>
  <c r="J160" i="65" s="1"/>
  <c r="J65" i="105" s="1"/>
  <c r="J33" i="82"/>
  <c r="J140" i="65"/>
  <c r="J169" i="65" s="1"/>
  <c r="J74" i="105" s="1"/>
  <c r="J122" i="65"/>
  <c r="J151" i="65" s="1"/>
  <c r="J56" i="105" s="1"/>
  <c r="J96" i="105" s="1"/>
  <c r="J64" i="105"/>
  <c r="Z399" i="41" l="1"/>
  <c r="Z404" i="41" s="1"/>
  <c r="Z413" i="41" s="1"/>
  <c r="Z33" i="65" s="1"/>
  <c r="Z111" i="65" s="1"/>
  <c r="Z122" i="65" s="1"/>
  <c r="Z151" i="65" s="1"/>
  <c r="Z56" i="105" s="1"/>
  <c r="Z96" i="105" s="1"/>
  <c r="Z400" i="41"/>
  <c r="Z403" i="41" s="1"/>
  <c r="Z412" i="41" s="1"/>
  <c r="Z32" i="65" s="1"/>
  <c r="Z110" i="65" s="1"/>
  <c r="Z121" i="65" s="1"/>
  <c r="Z150" i="65" s="1"/>
  <c r="Z55" i="105" s="1"/>
  <c r="Z95" i="105" s="1"/>
  <c r="M33" i="82"/>
  <c r="M122" i="65"/>
  <c r="M151" i="65" s="1"/>
  <c r="M56" i="105" s="1"/>
  <c r="M96" i="105" s="1"/>
  <c r="M102" i="105" s="1"/>
  <c r="M131" i="65"/>
  <c r="M160" i="65" s="1"/>
  <c r="M65" i="105" s="1"/>
  <c r="M183" i="105" s="1"/>
  <c r="M422" i="41"/>
  <c r="M426" i="41" s="1"/>
  <c r="X399" i="41"/>
  <c r="X404" i="41" s="1"/>
  <c r="X413" i="41" s="1"/>
  <c r="X33" i="65" s="1"/>
  <c r="X111" i="65" s="1"/>
  <c r="X33" i="82" s="1"/>
  <c r="X400" i="41"/>
  <c r="X403" i="41" s="1"/>
  <c r="X412" i="41" s="1"/>
  <c r="X32" i="65" s="1"/>
  <c r="X110" i="65" s="1"/>
  <c r="X121" i="65" s="1"/>
  <c r="X150" i="65" s="1"/>
  <c r="X55" i="105" s="1"/>
  <c r="X95" i="105" s="1"/>
  <c r="T399" i="41"/>
  <c r="T404" i="41" s="1"/>
  <c r="T413" i="41" s="1"/>
  <c r="T33" i="65" s="1"/>
  <c r="T111" i="65" s="1"/>
  <c r="T131" i="65" s="1"/>
  <c r="T160" i="65" s="1"/>
  <c r="T65" i="105" s="1"/>
  <c r="T183" i="105" s="1"/>
  <c r="AA399" i="41"/>
  <c r="AA404" i="41" s="1"/>
  <c r="AA413" i="41" s="1"/>
  <c r="AA33" i="65" s="1"/>
  <c r="AA111" i="65" s="1"/>
  <c r="AA33" i="82" s="1"/>
  <c r="AA398" i="41"/>
  <c r="X398" i="41"/>
  <c r="T400" i="41"/>
  <c r="T403" i="41" s="1"/>
  <c r="T412" i="41" s="1"/>
  <c r="T32" i="65" s="1"/>
  <c r="T110" i="65" s="1"/>
  <c r="T32" i="82" s="1"/>
  <c r="T132" i="65"/>
  <c r="T161" i="65" s="1"/>
  <c r="T66" i="105" s="1"/>
  <c r="T184" i="105" s="1"/>
  <c r="T141" i="65"/>
  <c r="T170" i="65" s="1"/>
  <c r="T75" i="105" s="1"/>
  <c r="T117" i="105" s="1"/>
  <c r="T123" i="65"/>
  <c r="T152" i="65" s="1"/>
  <c r="T57" i="105" s="1"/>
  <c r="T97" i="105" s="1"/>
  <c r="S400" i="41"/>
  <c r="S403" i="41" s="1"/>
  <c r="S412" i="41" s="1"/>
  <c r="S32" i="65" s="1"/>
  <c r="S110" i="65" s="1"/>
  <c r="S32" i="82" s="1"/>
  <c r="S398" i="41"/>
  <c r="Y398" i="41"/>
  <c r="Y400" i="41"/>
  <c r="Y403" i="41" s="1"/>
  <c r="Y412" i="41" s="1"/>
  <c r="Y32" i="65" s="1"/>
  <c r="Y110" i="65" s="1"/>
  <c r="Y121" i="65" s="1"/>
  <c r="Y150" i="65" s="1"/>
  <c r="Y55" i="105" s="1"/>
  <c r="Y95" i="105" s="1"/>
  <c r="AC115" i="105"/>
  <c r="AC193" i="105"/>
  <c r="AC194" i="105"/>
  <c r="AC116" i="105"/>
  <c r="AC34" i="82"/>
  <c r="AC123" i="65"/>
  <c r="AC152" i="65" s="1"/>
  <c r="AC57" i="105" s="1"/>
  <c r="AC97" i="105" s="1"/>
  <c r="AC102" i="105" s="1"/>
  <c r="AC141" i="65"/>
  <c r="AC170" i="65" s="1"/>
  <c r="AC75" i="105" s="1"/>
  <c r="AA405" i="41"/>
  <c r="AA414" i="41" s="1"/>
  <c r="AA34" i="65" s="1"/>
  <c r="AA112" i="65" s="1"/>
  <c r="P193" i="105"/>
  <c r="P115" i="105"/>
  <c r="AD115" i="105"/>
  <c r="AD193" i="105"/>
  <c r="N194" i="105"/>
  <c r="N116" i="105"/>
  <c r="M194" i="105"/>
  <c r="M116" i="105"/>
  <c r="P183" i="105"/>
  <c r="P106" i="105"/>
  <c r="Y405" i="41"/>
  <c r="Y414" i="41" s="1"/>
  <c r="Y34" i="65" s="1"/>
  <c r="Y112" i="65" s="1"/>
  <c r="U140" i="65"/>
  <c r="U169" i="65" s="1"/>
  <c r="U74" i="105" s="1"/>
  <c r="U33" i="82"/>
  <c r="U131" i="65"/>
  <c r="U160" i="65" s="1"/>
  <c r="U65" i="105" s="1"/>
  <c r="U122" i="65"/>
  <c r="U151" i="65" s="1"/>
  <c r="U56" i="105" s="1"/>
  <c r="U96" i="105" s="1"/>
  <c r="AF34" i="82"/>
  <c r="AF141" i="65"/>
  <c r="AF170" i="65" s="1"/>
  <c r="AF75" i="105" s="1"/>
  <c r="AF123" i="65"/>
  <c r="AF152" i="65" s="1"/>
  <c r="AF57" i="105" s="1"/>
  <c r="AF97" i="105" s="1"/>
  <c r="AF102" i="105" s="1"/>
  <c r="S33" i="82"/>
  <c r="S122" i="65"/>
  <c r="S151" i="65" s="1"/>
  <c r="S56" i="105" s="1"/>
  <c r="S96" i="105" s="1"/>
  <c r="S131" i="65"/>
  <c r="S160" i="65" s="1"/>
  <c r="S65" i="105" s="1"/>
  <c r="S140" i="65"/>
  <c r="S169" i="65" s="1"/>
  <c r="S74" i="105" s="1"/>
  <c r="AF116" i="105"/>
  <c r="AF194" i="105"/>
  <c r="M193" i="105"/>
  <c r="M115" i="105"/>
  <c r="U422" i="41"/>
  <c r="U426" i="41" s="1"/>
  <c r="U405" i="41"/>
  <c r="U414" i="41" s="1"/>
  <c r="U34" i="65" s="1"/>
  <c r="U112" i="65" s="1"/>
  <c r="V400" i="41"/>
  <c r="V403" i="41" s="1"/>
  <c r="V412" i="41" s="1"/>
  <c r="V32" i="65" s="1"/>
  <c r="V110" i="65" s="1"/>
  <c r="V399" i="41"/>
  <c r="V404" i="41" s="1"/>
  <c r="V413" i="41" s="1"/>
  <c r="V33" i="65" s="1"/>
  <c r="V111" i="65" s="1"/>
  <c r="V398" i="41"/>
  <c r="AD34" i="82"/>
  <c r="AD141" i="65"/>
  <c r="AD170" i="65" s="1"/>
  <c r="AD75" i="105" s="1"/>
  <c r="AD123" i="65"/>
  <c r="AD152" i="65" s="1"/>
  <c r="AD57" i="105" s="1"/>
  <c r="AD97" i="105" s="1"/>
  <c r="AD102" i="105" s="1"/>
  <c r="M105" i="105"/>
  <c r="M182" i="105"/>
  <c r="Y140" i="65"/>
  <c r="Y169" i="65" s="1"/>
  <c r="Y74" i="105" s="1"/>
  <c r="Y33" i="82"/>
  <c r="Y122" i="65"/>
  <c r="Y151" i="65" s="1"/>
  <c r="Y56" i="105" s="1"/>
  <c r="Y96" i="105" s="1"/>
  <c r="U121" i="65"/>
  <c r="U150" i="65" s="1"/>
  <c r="U55" i="105" s="1"/>
  <c r="U95" i="105" s="1"/>
  <c r="U32" i="82"/>
  <c r="U130" i="65"/>
  <c r="U159" i="65" s="1"/>
  <c r="U64" i="105" s="1"/>
  <c r="U139" i="65"/>
  <c r="U168" i="65" s="1"/>
  <c r="U73" i="105" s="1"/>
  <c r="N123" i="65"/>
  <c r="N152" i="65" s="1"/>
  <c r="N57" i="105" s="1"/>
  <c r="N97" i="105" s="1"/>
  <c r="N102" i="105" s="1"/>
  <c r="N34" i="82"/>
  <c r="N141" i="65"/>
  <c r="N170" i="65" s="1"/>
  <c r="N75" i="105" s="1"/>
  <c r="N132" i="65"/>
  <c r="N161" i="65" s="1"/>
  <c r="N66" i="105" s="1"/>
  <c r="N105" i="105"/>
  <c r="N182" i="105"/>
  <c r="N106" i="105"/>
  <c r="N183" i="105"/>
  <c r="J132" i="65"/>
  <c r="J161" i="65" s="1"/>
  <c r="J66" i="105" s="1"/>
  <c r="J141" i="65"/>
  <c r="J170" i="65" s="1"/>
  <c r="J75" i="105" s="1"/>
  <c r="J34" i="82"/>
  <c r="J123" i="65"/>
  <c r="J152" i="65" s="1"/>
  <c r="J57" i="105" s="1"/>
  <c r="J97" i="105" s="1"/>
  <c r="J116" i="105"/>
  <c r="J194" i="105"/>
  <c r="Z405" i="41"/>
  <c r="Z414" i="41" s="1"/>
  <c r="Z34" i="65" s="1"/>
  <c r="Z112" i="65" s="1"/>
  <c r="AD194" i="105"/>
  <c r="AD116" i="105"/>
  <c r="O132" i="65"/>
  <c r="O161" i="65" s="1"/>
  <c r="O66" i="105" s="1"/>
  <c r="O123" i="65"/>
  <c r="O152" i="65" s="1"/>
  <c r="O57" i="105" s="1"/>
  <c r="O97" i="105" s="1"/>
  <c r="O102" i="105" s="1"/>
  <c r="O141" i="65"/>
  <c r="O170" i="65" s="1"/>
  <c r="O75" i="105" s="1"/>
  <c r="O34" i="82"/>
  <c r="O183" i="105"/>
  <c r="O106" i="105"/>
  <c r="J426" i="41"/>
  <c r="O193" i="105"/>
  <c r="O115" i="105"/>
  <c r="N193" i="105"/>
  <c r="N115" i="105"/>
  <c r="O105" i="105"/>
  <c r="O182" i="105"/>
  <c r="AA32" i="82"/>
  <c r="AA121" i="65"/>
  <c r="AA150" i="65" s="1"/>
  <c r="AA55" i="105" s="1"/>
  <c r="AA95" i="105" s="1"/>
  <c r="AA139" i="65"/>
  <c r="AA168" i="65" s="1"/>
  <c r="AA73" i="105" s="1"/>
  <c r="P116" i="105"/>
  <c r="P194" i="105"/>
  <c r="P182" i="105"/>
  <c r="P105" i="105"/>
  <c r="P132" i="65"/>
  <c r="P161" i="65" s="1"/>
  <c r="P66" i="105" s="1"/>
  <c r="P141" i="65"/>
  <c r="P170" i="65" s="1"/>
  <c r="P75" i="105" s="1"/>
  <c r="P123" i="65"/>
  <c r="P152" i="65" s="1"/>
  <c r="P57" i="105" s="1"/>
  <c r="P97" i="105" s="1"/>
  <c r="P102" i="105" s="1"/>
  <c r="P34" i="82"/>
  <c r="X405" i="41"/>
  <c r="X414" i="41" s="1"/>
  <c r="X34" i="65" s="1"/>
  <c r="X112" i="65" s="1"/>
  <c r="AF193" i="105"/>
  <c r="AF115" i="105"/>
  <c r="O116" i="105"/>
  <c r="O194" i="105"/>
  <c r="AE34" i="82"/>
  <c r="AE123" i="65"/>
  <c r="AE152" i="65" s="1"/>
  <c r="AE57" i="105" s="1"/>
  <c r="AE97" i="105" s="1"/>
  <c r="AE102" i="105" s="1"/>
  <c r="AE141" i="65"/>
  <c r="AE170" i="65" s="1"/>
  <c r="AE75" i="105" s="1"/>
  <c r="J106" i="105"/>
  <c r="J183" i="105"/>
  <c r="AE194" i="105"/>
  <c r="AE116" i="105"/>
  <c r="AE193" i="105"/>
  <c r="AE115" i="105"/>
  <c r="S405" i="41"/>
  <c r="S414" i="41" s="1"/>
  <c r="S34" i="65" s="1"/>
  <c r="S112" i="65" s="1"/>
  <c r="J95" i="105"/>
  <c r="J193" i="105"/>
  <c r="J115" i="105"/>
  <c r="J182" i="105"/>
  <c r="J105" i="105"/>
  <c r="Z139" i="65" l="1"/>
  <c r="Z168" i="65" s="1"/>
  <c r="Z73" i="105" s="1"/>
  <c r="Z193" i="105" s="1"/>
  <c r="Z32" i="82"/>
  <c r="M106" i="105"/>
  <c r="M112" i="105" s="1"/>
  <c r="X122" i="65"/>
  <c r="X151" i="65" s="1"/>
  <c r="X56" i="105" s="1"/>
  <c r="X96" i="105" s="1"/>
  <c r="X140" i="65"/>
  <c r="X169" i="65" s="1"/>
  <c r="X74" i="105" s="1"/>
  <c r="X194" i="105" s="1"/>
  <c r="Z140" i="65"/>
  <c r="Z169" i="65" s="1"/>
  <c r="Z74" i="105" s="1"/>
  <c r="Z194" i="105" s="1"/>
  <c r="Z422" i="41"/>
  <c r="Z426" i="41" s="1"/>
  <c r="Z33" i="82"/>
  <c r="AA140" i="65"/>
  <c r="AA169" i="65" s="1"/>
  <c r="AA74" i="105" s="1"/>
  <c r="AA194" i="105" s="1"/>
  <c r="X32" i="82"/>
  <c r="T33" i="82"/>
  <c r="AA122" i="65"/>
  <c r="AA151" i="65" s="1"/>
  <c r="AA56" i="105" s="1"/>
  <c r="AA96" i="105" s="1"/>
  <c r="AA422" i="41"/>
  <c r="AA426" i="41" s="1"/>
  <c r="T130" i="65"/>
  <c r="T159" i="65" s="1"/>
  <c r="T64" i="105" s="1"/>
  <c r="X139" i="65"/>
  <c r="X168" i="65" s="1"/>
  <c r="X73" i="105" s="1"/>
  <c r="X115" i="105" s="1"/>
  <c r="T122" i="65"/>
  <c r="T151" i="65" s="1"/>
  <c r="T56" i="105" s="1"/>
  <c r="T96" i="105" s="1"/>
  <c r="X422" i="41"/>
  <c r="X426" i="41" s="1"/>
  <c r="T140" i="65"/>
  <c r="T169" i="65" s="1"/>
  <c r="T74" i="105" s="1"/>
  <c r="T194" i="105" s="1"/>
  <c r="T106" i="105"/>
  <c r="T139" i="65"/>
  <c r="T168" i="65" s="1"/>
  <c r="T73" i="105" s="1"/>
  <c r="T121" i="65"/>
  <c r="T150" i="65" s="1"/>
  <c r="T55" i="105" s="1"/>
  <c r="T107" i="105"/>
  <c r="S422" i="41"/>
  <c r="S426" i="41" s="1"/>
  <c r="T422" i="41"/>
  <c r="T426" i="41" s="1"/>
  <c r="T195" i="105"/>
  <c r="S121" i="65"/>
  <c r="S150" i="65" s="1"/>
  <c r="S55" i="105" s="1"/>
  <c r="S95" i="105" s="1"/>
  <c r="Y422" i="41"/>
  <c r="Y426" i="41" s="1"/>
  <c r="Y139" i="65"/>
  <c r="Y168" i="65" s="1"/>
  <c r="Y73" i="105" s="1"/>
  <c r="Y193" i="105" s="1"/>
  <c r="S130" i="65"/>
  <c r="S159" i="65" s="1"/>
  <c r="S64" i="105" s="1"/>
  <c r="S105" i="105" s="1"/>
  <c r="S139" i="65"/>
  <c r="S168" i="65" s="1"/>
  <c r="S73" i="105" s="1"/>
  <c r="S193" i="105" s="1"/>
  <c r="AC174" i="105"/>
  <c r="AC65" i="82" s="1"/>
  <c r="AC140" i="105"/>
  <c r="AC206" i="105" s="1"/>
  <c r="AC146" i="105"/>
  <c r="AC63" i="82" s="1"/>
  <c r="AD174" i="105"/>
  <c r="AD65" i="82" s="1"/>
  <c r="AD146" i="105"/>
  <c r="AD63" i="82" s="1"/>
  <c r="AD140" i="105"/>
  <c r="AD62" i="82" s="1"/>
  <c r="AF146" i="105"/>
  <c r="AF63" i="82" s="1"/>
  <c r="AF174" i="105"/>
  <c r="AF65" i="82" s="1"/>
  <c r="AF140" i="105"/>
  <c r="AF206" i="105" s="1"/>
  <c r="P146" i="105"/>
  <c r="P63" i="82" s="1"/>
  <c r="P174" i="105"/>
  <c r="P65" i="82" s="1"/>
  <c r="P140" i="105"/>
  <c r="P62" i="82" s="1"/>
  <c r="O146" i="105"/>
  <c r="O63" i="82" s="1"/>
  <c r="O174" i="105"/>
  <c r="O65" i="82" s="1"/>
  <c r="O140" i="105"/>
  <c r="O62" i="82" s="1"/>
  <c r="AE174" i="105"/>
  <c r="AE65" i="82" s="1"/>
  <c r="AE146" i="105"/>
  <c r="AE63" i="82" s="1"/>
  <c r="AE140" i="105"/>
  <c r="AE62" i="82" s="1"/>
  <c r="Y32" i="82"/>
  <c r="M122" i="105"/>
  <c r="M148" i="105" s="1"/>
  <c r="M200" i="105"/>
  <c r="AC195" i="105"/>
  <c r="AC200" i="105" s="1"/>
  <c r="AC117" i="105"/>
  <c r="AC122" i="105" s="1"/>
  <c r="M189" i="105"/>
  <c r="N146" i="105"/>
  <c r="N63" i="82" s="1"/>
  <c r="N140" i="105"/>
  <c r="N174" i="105"/>
  <c r="N65" i="82" s="1"/>
  <c r="J184" i="105"/>
  <c r="J189" i="105" s="1"/>
  <c r="J107" i="105"/>
  <c r="J112" i="105" s="1"/>
  <c r="X116" i="105"/>
  <c r="AF117" i="105"/>
  <c r="AF122" i="105" s="1"/>
  <c r="AF195" i="105"/>
  <c r="AF200" i="105" s="1"/>
  <c r="U116" i="105"/>
  <c r="U194" i="105"/>
  <c r="S34" i="82"/>
  <c r="S141" i="65"/>
  <c r="S170" i="65" s="1"/>
  <c r="S75" i="105" s="1"/>
  <c r="S132" i="65"/>
  <c r="S161" i="65" s="1"/>
  <c r="S66" i="105" s="1"/>
  <c r="S123" i="65"/>
  <c r="S152" i="65" s="1"/>
  <c r="S57" i="105" s="1"/>
  <c r="S97" i="105" s="1"/>
  <c r="X141" i="65"/>
  <c r="X170" i="65" s="1"/>
  <c r="X75" i="105" s="1"/>
  <c r="X34" i="82"/>
  <c r="X123" i="65"/>
  <c r="X152" i="65" s="1"/>
  <c r="X57" i="105" s="1"/>
  <c r="X97" i="105" s="1"/>
  <c r="X102" i="105" s="1"/>
  <c r="O184" i="105"/>
  <c r="O189" i="105" s="1"/>
  <c r="O107" i="105"/>
  <c r="O112" i="105" s="1"/>
  <c r="N184" i="105"/>
  <c r="N189" i="105" s="1"/>
  <c r="N107" i="105"/>
  <c r="N112" i="105" s="1"/>
  <c r="Y34" i="82"/>
  <c r="Y123" i="65"/>
  <c r="Y152" i="65" s="1"/>
  <c r="Y57" i="105" s="1"/>
  <c r="Y97" i="105" s="1"/>
  <c r="Y102" i="105" s="1"/>
  <c r="Y141" i="65"/>
  <c r="Y170" i="65" s="1"/>
  <c r="Y75" i="105" s="1"/>
  <c r="V422" i="41"/>
  <c r="V426" i="41" s="1"/>
  <c r="V405" i="41"/>
  <c r="V414" i="41" s="1"/>
  <c r="V34" i="65" s="1"/>
  <c r="V112" i="65" s="1"/>
  <c r="H430" i="41" a="1"/>
  <c r="H430" i="41" s="1"/>
  <c r="AE195" i="105"/>
  <c r="AE200" i="105" s="1"/>
  <c r="AE117" i="105"/>
  <c r="AE122" i="105" s="1"/>
  <c r="N117" i="105"/>
  <c r="N122" i="105" s="1"/>
  <c r="N195" i="105"/>
  <c r="N200" i="105" s="1"/>
  <c r="J195" i="105"/>
  <c r="J200" i="105" s="1"/>
  <c r="J117" i="105"/>
  <c r="Y194" i="105"/>
  <c r="Y116" i="105"/>
  <c r="S194" i="105"/>
  <c r="S116" i="105"/>
  <c r="P195" i="105"/>
  <c r="P200" i="105" s="1"/>
  <c r="P117" i="105"/>
  <c r="P122" i="105" s="1"/>
  <c r="U193" i="105"/>
  <c r="U115" i="105"/>
  <c r="V33" i="82"/>
  <c r="V140" i="65"/>
  <c r="V169" i="65" s="1"/>
  <c r="V74" i="105" s="1"/>
  <c r="V131" i="65"/>
  <c r="V160" i="65" s="1"/>
  <c r="V65" i="105" s="1"/>
  <c r="V122" i="65"/>
  <c r="V151" i="65" s="1"/>
  <c r="V56" i="105" s="1"/>
  <c r="V96" i="105" s="1"/>
  <c r="AA141" i="65"/>
  <c r="AA170" i="65" s="1"/>
  <c r="AA75" i="105" s="1"/>
  <c r="AA34" i="82"/>
  <c r="AA123" i="65"/>
  <c r="AA152" i="65" s="1"/>
  <c r="AA57" i="105" s="1"/>
  <c r="AA97" i="105" s="1"/>
  <c r="AA102" i="105" s="1"/>
  <c r="M174" i="105"/>
  <c r="M65" i="82" s="1"/>
  <c r="M146" i="105"/>
  <c r="M63" i="82" s="1"/>
  <c r="M140" i="105"/>
  <c r="P184" i="105"/>
  <c r="P189" i="105" s="1"/>
  <c r="P107" i="105"/>
  <c r="P112" i="105" s="1"/>
  <c r="AA193" i="105"/>
  <c r="AA115" i="105"/>
  <c r="Z34" i="82"/>
  <c r="Z123" i="65"/>
  <c r="Z152" i="65" s="1"/>
  <c r="Z57" i="105" s="1"/>
  <c r="Z97" i="105" s="1"/>
  <c r="Z102" i="105" s="1"/>
  <c r="Z141" i="65"/>
  <c r="Z170" i="65" s="1"/>
  <c r="Z75" i="105" s="1"/>
  <c r="U182" i="105"/>
  <c r="U105" i="105"/>
  <c r="V32" i="82"/>
  <c r="V121" i="65"/>
  <c r="V150" i="65" s="1"/>
  <c r="V55" i="105" s="1"/>
  <c r="V95" i="105" s="1"/>
  <c r="V130" i="65"/>
  <c r="V159" i="65" s="1"/>
  <c r="V64" i="105" s="1"/>
  <c r="V139" i="65"/>
  <c r="V168" i="65" s="1"/>
  <c r="V73" i="105" s="1"/>
  <c r="U106" i="105"/>
  <c r="U183" i="105"/>
  <c r="S183" i="105"/>
  <c r="S106" i="105"/>
  <c r="O195" i="105"/>
  <c r="O200" i="105" s="1"/>
  <c r="O117" i="105"/>
  <c r="O122" i="105" s="1"/>
  <c r="AD117" i="105"/>
  <c r="AD122" i="105" s="1"/>
  <c r="AD195" i="105"/>
  <c r="AD200" i="105" s="1"/>
  <c r="U141" i="65"/>
  <c r="U170" i="65" s="1"/>
  <c r="U75" i="105" s="1"/>
  <c r="U34" i="82"/>
  <c r="U123" i="65"/>
  <c r="U152" i="65" s="1"/>
  <c r="U57" i="105" s="1"/>
  <c r="U97" i="105" s="1"/>
  <c r="U102" i="105" s="1"/>
  <c r="U132" i="65"/>
  <c r="U161" i="65" s="1"/>
  <c r="U66" i="105" s="1"/>
  <c r="J102" i="105"/>
  <c r="Z115" i="105" l="1"/>
  <c r="AA116" i="105"/>
  <c r="Z116" i="105"/>
  <c r="X193" i="105"/>
  <c r="T116" i="105"/>
  <c r="H96" i="105"/>
  <c r="Y115" i="105"/>
  <c r="S102" i="105"/>
  <c r="S140" i="105" s="1"/>
  <c r="S62" i="82" s="1"/>
  <c r="H426" i="41"/>
  <c r="H432" i="41" s="1"/>
  <c r="A4" i="41" s="1"/>
  <c r="AF62" i="82"/>
  <c r="O206" i="105"/>
  <c r="O73" i="82" s="1"/>
  <c r="S115" i="105"/>
  <c r="S182" i="105"/>
  <c r="O207" i="105"/>
  <c r="O74" i="82" s="1"/>
  <c r="AC62" i="82"/>
  <c r="M142" i="105"/>
  <c r="P206" i="105"/>
  <c r="P73" i="82" s="1"/>
  <c r="P207" i="105"/>
  <c r="P74" i="82" s="1"/>
  <c r="AD206" i="105"/>
  <c r="AD207" i="105"/>
  <c r="AD74" i="82" s="1"/>
  <c r="AC148" i="105"/>
  <c r="AC142" i="105"/>
  <c r="AE206" i="105"/>
  <c r="AE207" i="105"/>
  <c r="AE74" i="82" s="1"/>
  <c r="AF207" i="105"/>
  <c r="AF74" i="82" s="1"/>
  <c r="AC207" i="105"/>
  <c r="AC74" i="82" s="1"/>
  <c r="Y146" i="105"/>
  <c r="Y63" i="82" s="1"/>
  <c r="Y140" i="105"/>
  <c r="Y62" i="82" s="1"/>
  <c r="Y174" i="105"/>
  <c r="Y65" i="82" s="1"/>
  <c r="X140" i="105"/>
  <c r="X62" i="82" s="1"/>
  <c r="X174" i="105"/>
  <c r="X65" i="82" s="1"/>
  <c r="X146" i="105"/>
  <c r="X63" i="82" s="1"/>
  <c r="AD142" i="105"/>
  <c r="AD148" i="105"/>
  <c r="Z146" i="105"/>
  <c r="Z63" i="82" s="1"/>
  <c r="Z140" i="105"/>
  <c r="Z206" i="105" s="1"/>
  <c r="Z174" i="105"/>
  <c r="Z65" i="82" s="1"/>
  <c r="AF148" i="105"/>
  <c r="AF142" i="105"/>
  <c r="AE142" i="105"/>
  <c r="AE148" i="105"/>
  <c r="O142" i="105"/>
  <c r="O148" i="105"/>
  <c r="P141" i="105"/>
  <c r="P147" i="105"/>
  <c r="O147" i="105"/>
  <c r="O141" i="105"/>
  <c r="AA174" i="105"/>
  <c r="AA65" i="82" s="1"/>
  <c r="AA140" i="105"/>
  <c r="AA62" i="82" s="1"/>
  <c r="AA146" i="105"/>
  <c r="AA63" i="82" s="1"/>
  <c r="P148" i="105"/>
  <c r="P142" i="105"/>
  <c r="U174" i="105"/>
  <c r="U65" i="82" s="1"/>
  <c r="U146" i="105"/>
  <c r="U63" i="82" s="1"/>
  <c r="U140" i="105"/>
  <c r="H422" i="41"/>
  <c r="N142" i="105"/>
  <c r="N148" i="105"/>
  <c r="N141" i="105"/>
  <c r="N147" i="105"/>
  <c r="V182" i="105"/>
  <c r="V105" i="105"/>
  <c r="U184" i="105"/>
  <c r="U189" i="105" s="1"/>
  <c r="U107" i="105"/>
  <c r="U112" i="105" s="1"/>
  <c r="U147" i="105" s="1"/>
  <c r="M147" i="105"/>
  <c r="M141" i="105"/>
  <c r="Y195" i="105"/>
  <c r="Y200" i="105" s="1"/>
  <c r="Y117" i="105"/>
  <c r="Z195" i="105"/>
  <c r="Z200" i="105" s="1"/>
  <c r="Z117" i="105"/>
  <c r="X195" i="105"/>
  <c r="X117" i="105"/>
  <c r="X122" i="105" s="1"/>
  <c r="U195" i="105"/>
  <c r="U200" i="105" s="1"/>
  <c r="U117" i="105"/>
  <c r="U122" i="105" s="1"/>
  <c r="M62" i="82"/>
  <c r="M207" i="105"/>
  <c r="M74" i="82" s="1"/>
  <c r="M206" i="105"/>
  <c r="M73" i="82" s="1"/>
  <c r="AA117" i="105"/>
  <c r="AA195" i="105"/>
  <c r="AA200" i="105" s="1"/>
  <c r="J122" i="105"/>
  <c r="V106" i="105"/>
  <c r="H106" i="105" s="1"/>
  <c r="V183" i="105"/>
  <c r="V193" i="105"/>
  <c r="V115" i="105"/>
  <c r="S184" i="105"/>
  <c r="S107" i="105"/>
  <c r="N62" i="82"/>
  <c r="N207" i="105"/>
  <c r="N74" i="82" s="1"/>
  <c r="N206" i="105"/>
  <c r="N73" i="82" s="1"/>
  <c r="S195" i="105"/>
  <c r="S200" i="105" s="1"/>
  <c r="S117" i="105"/>
  <c r="V194" i="105"/>
  <c r="V116" i="105"/>
  <c r="V132" i="65"/>
  <c r="V161" i="65" s="1"/>
  <c r="V66" i="105" s="1"/>
  <c r="V34" i="82"/>
  <c r="V141" i="65"/>
  <c r="V170" i="65" s="1"/>
  <c r="V123" i="65"/>
  <c r="T182" i="105"/>
  <c r="T189" i="105" s="1"/>
  <c r="T105" i="105"/>
  <c r="T112" i="105" s="1"/>
  <c r="T193" i="105"/>
  <c r="T200" i="105" s="1"/>
  <c r="T115" i="105"/>
  <c r="J141" i="105"/>
  <c r="J147" i="105"/>
  <c r="J174" i="105"/>
  <c r="J65" i="82" s="1"/>
  <c r="J146" i="105"/>
  <c r="J63" i="82" s="1"/>
  <c r="J140" i="105"/>
  <c r="T95" i="105"/>
  <c r="X200" i="105" l="1"/>
  <c r="X207" i="105" s="1"/>
  <c r="X74" i="82" s="1"/>
  <c r="AA122" i="105"/>
  <c r="AA142" i="105" s="1"/>
  <c r="Z122" i="105"/>
  <c r="Z142" i="105" s="1"/>
  <c r="H116" i="105"/>
  <c r="Y122" i="105"/>
  <c r="Y142" i="105" s="1"/>
  <c r="S174" i="105"/>
  <c r="S65" i="82" s="1"/>
  <c r="Y206" i="105"/>
  <c r="S146" i="105"/>
  <c r="S63" i="82" s="1"/>
  <c r="S207" i="105"/>
  <c r="S74" i="82" s="1"/>
  <c r="Z62" i="82"/>
  <c r="S122" i="105"/>
  <c r="S148" i="105" s="1"/>
  <c r="S189" i="105"/>
  <c r="S206" i="105" s="1"/>
  <c r="S73" i="82" s="1"/>
  <c r="U207" i="105"/>
  <c r="U74" i="82" s="1"/>
  <c r="AA207" i="105"/>
  <c r="AA74" i="82" s="1"/>
  <c r="Z207" i="105"/>
  <c r="Z74" i="82" s="1"/>
  <c r="Y207" i="105"/>
  <c r="Y74" i="82" s="1"/>
  <c r="AA206" i="105"/>
  <c r="U206" i="105"/>
  <c r="U73" i="82" s="1"/>
  <c r="X206" i="105"/>
  <c r="U148" i="105"/>
  <c r="U142" i="105"/>
  <c r="X148" i="105"/>
  <c r="X142" i="105"/>
  <c r="U62" i="82"/>
  <c r="S112" i="105"/>
  <c r="T102" i="105"/>
  <c r="T146" i="105" s="1"/>
  <c r="T63" i="82" s="1"/>
  <c r="H95" i="105"/>
  <c r="U141" i="105"/>
  <c r="H105" i="105"/>
  <c r="T122" i="105"/>
  <c r="T148" i="105" s="1"/>
  <c r="H115" i="105"/>
  <c r="J53" i="55"/>
  <c r="V184" i="105"/>
  <c r="V189" i="105" s="1"/>
  <c r="V107" i="105"/>
  <c r="H107" i="105" s="1"/>
  <c r="J50" i="106" a="1"/>
  <c r="V152" i="65"/>
  <c r="H178" i="65" a="1"/>
  <c r="H178" i="65" s="1"/>
  <c r="V75" i="105"/>
  <c r="J84" i="106" a="1"/>
  <c r="J142" i="105"/>
  <c r="J148" i="105"/>
  <c r="J206" i="105"/>
  <c r="J73" i="82" s="1"/>
  <c r="J62" i="82"/>
  <c r="J207" i="105"/>
  <c r="J74" i="82" s="1"/>
  <c r="T141" i="105"/>
  <c r="T147" i="105"/>
  <c r="AA148" i="105" l="1"/>
  <c r="Z148" i="105"/>
  <c r="Y148" i="105"/>
  <c r="S142" i="105"/>
  <c r="T142" i="105"/>
  <c r="S141" i="105"/>
  <c r="S147" i="105"/>
  <c r="H112" i="105"/>
  <c r="T174" i="105"/>
  <c r="T65" i="82" s="1"/>
  <c r="V112" i="105"/>
  <c r="T140" i="105"/>
  <c r="T62" i="82" s="1"/>
  <c r="M68" i="106"/>
  <c r="O54" i="106"/>
  <c r="P64" i="106"/>
  <c r="O63" i="106"/>
  <c r="M53" i="106"/>
  <c r="O51" i="106"/>
  <c r="K60" i="106"/>
  <c r="L52" i="106"/>
  <c r="K68" i="106"/>
  <c r="L80" i="106"/>
  <c r="N74" i="106"/>
  <c r="K58" i="106"/>
  <c r="M74" i="106"/>
  <c r="L62" i="106"/>
  <c r="J58" i="106"/>
  <c r="N62" i="106"/>
  <c r="P63" i="106"/>
  <c r="L65" i="106"/>
  <c r="N60" i="106"/>
  <c r="P60" i="106"/>
  <c r="O81" i="106"/>
  <c r="L68" i="106"/>
  <c r="P54" i="106"/>
  <c r="L61" i="106"/>
  <c r="M70" i="106"/>
  <c r="P76" i="106"/>
  <c r="O66" i="106"/>
  <c r="N69" i="106"/>
  <c r="N80" i="106"/>
  <c r="M58" i="106"/>
  <c r="L76" i="106"/>
  <c r="O58" i="106"/>
  <c r="L79" i="106"/>
  <c r="J78" i="106"/>
  <c r="K77" i="106"/>
  <c r="L59" i="106"/>
  <c r="L69" i="106"/>
  <c r="M77" i="106"/>
  <c r="L60" i="106"/>
  <c r="N51" i="106"/>
  <c r="P53" i="106"/>
  <c r="O74" i="106"/>
  <c r="M60" i="106"/>
  <c r="L57" i="106"/>
  <c r="O64" i="106"/>
  <c r="L53" i="106"/>
  <c r="P56" i="106"/>
  <c r="J71" i="106"/>
  <c r="P80" i="106"/>
  <c r="N71" i="106"/>
  <c r="M57" i="106"/>
  <c r="J50" i="106"/>
  <c r="L58" i="106"/>
  <c r="O61" i="106"/>
  <c r="K76" i="106"/>
  <c r="N65" i="106"/>
  <c r="J55" i="106"/>
  <c r="K78" i="106"/>
  <c r="M78" i="106"/>
  <c r="O75" i="106"/>
  <c r="J81" i="106"/>
  <c r="M62" i="106"/>
  <c r="N52" i="106"/>
  <c r="O57" i="106"/>
  <c r="M55" i="106"/>
  <c r="P74" i="106"/>
  <c r="J79" i="106"/>
  <c r="M65" i="106"/>
  <c r="O80" i="106"/>
  <c r="J65" i="106"/>
  <c r="J54" i="106"/>
  <c r="J76" i="106"/>
  <c r="K63" i="106"/>
  <c r="M71" i="106"/>
  <c r="M76" i="106"/>
  <c r="J66" i="106"/>
  <c r="L75" i="106"/>
  <c r="K69" i="106"/>
  <c r="O79" i="106"/>
  <c r="P62" i="106"/>
  <c r="P72" i="106"/>
  <c r="L78" i="106"/>
  <c r="M75" i="106"/>
  <c r="L56" i="106"/>
  <c r="O71" i="106"/>
  <c r="N70" i="106"/>
  <c r="O62" i="106"/>
  <c r="O53" i="106"/>
  <c r="P59" i="106"/>
  <c r="L74" i="106"/>
  <c r="P75" i="106"/>
  <c r="L54" i="106"/>
  <c r="N57" i="106"/>
  <c r="N56" i="106"/>
  <c r="O59" i="106"/>
  <c r="O52" i="106"/>
  <c r="N53" i="106"/>
  <c r="M81" i="106"/>
  <c r="K53" i="106"/>
  <c r="K52" i="106"/>
  <c r="J59" i="106"/>
  <c r="N67" i="106"/>
  <c r="O60" i="106"/>
  <c r="P73" i="106"/>
  <c r="P66" i="106"/>
  <c r="J70" i="106"/>
  <c r="M66" i="106"/>
  <c r="K67" i="106"/>
  <c r="K74" i="106"/>
  <c r="N75" i="106"/>
  <c r="O78" i="106"/>
  <c r="J75" i="106"/>
  <c r="K50" i="106"/>
  <c r="M67" i="106"/>
  <c r="M72" i="106"/>
  <c r="K61" i="106"/>
  <c r="N58" i="106"/>
  <c r="P68" i="106"/>
  <c r="J67" i="106"/>
  <c r="K81" i="106"/>
  <c r="J60" i="106"/>
  <c r="M51" i="106"/>
  <c r="K80" i="106"/>
  <c r="O68" i="106"/>
  <c r="P52" i="106"/>
  <c r="N68" i="106"/>
  <c r="N77" i="106"/>
  <c r="P78" i="106"/>
  <c r="K72" i="106"/>
  <c r="P51" i="106"/>
  <c r="N76" i="106"/>
  <c r="N64" i="106"/>
  <c r="J57" i="106"/>
  <c r="K57" i="106"/>
  <c r="N66" i="106"/>
  <c r="K59" i="106"/>
  <c r="J68" i="106"/>
  <c r="P69" i="106"/>
  <c r="N50" i="106"/>
  <c r="K70" i="106"/>
  <c r="P58" i="106"/>
  <c r="O56" i="106"/>
  <c r="J73" i="106"/>
  <c r="J74" i="106"/>
  <c r="M79" i="106"/>
  <c r="L51" i="106"/>
  <c r="P50" i="106"/>
  <c r="M69" i="106"/>
  <c r="J61" i="106"/>
  <c r="M64" i="106"/>
  <c r="N54" i="106"/>
  <c r="K55" i="106"/>
  <c r="K65" i="106"/>
  <c r="J80" i="106"/>
  <c r="L81" i="106"/>
  <c r="J64" i="106"/>
  <c r="L63" i="106"/>
  <c r="N73" i="106"/>
  <c r="L72" i="106"/>
  <c r="P81" i="106"/>
  <c r="M56" i="106"/>
  <c r="O72" i="106"/>
  <c r="O70" i="106"/>
  <c r="J52" i="106"/>
  <c r="N61" i="106"/>
  <c r="L55" i="106"/>
  <c r="M61" i="106"/>
  <c r="P67" i="106"/>
  <c r="L70" i="106"/>
  <c r="M54" i="106"/>
  <c r="P70" i="106"/>
  <c r="K62" i="106"/>
  <c r="J51" i="106"/>
  <c r="J56" i="106"/>
  <c r="M80" i="106"/>
  <c r="O69" i="106"/>
  <c r="L64" i="106"/>
  <c r="O67" i="106"/>
  <c r="O76" i="106"/>
  <c r="K51" i="106"/>
  <c r="K73" i="106"/>
  <c r="J53" i="106"/>
  <c r="K66" i="106"/>
  <c r="M50" i="106"/>
  <c r="O73" i="106"/>
  <c r="K71" i="106"/>
  <c r="N72" i="106"/>
  <c r="M52" i="106"/>
  <c r="K56" i="106"/>
  <c r="K75" i="106"/>
  <c r="J72" i="106"/>
  <c r="P57" i="106"/>
  <c r="P55" i="106"/>
  <c r="J77" i="106"/>
  <c r="L50" i="106"/>
  <c r="N81" i="106"/>
  <c r="L73" i="106"/>
  <c r="J63" i="106"/>
  <c r="N55" i="106"/>
  <c r="L67" i="106"/>
  <c r="J62" i="106"/>
  <c r="K79" i="106"/>
  <c r="K54" i="106"/>
  <c r="P71" i="106"/>
  <c r="L71" i="106"/>
  <c r="O65" i="106"/>
  <c r="P65" i="106"/>
  <c r="N59" i="106"/>
  <c r="P77" i="106"/>
  <c r="M59" i="106"/>
  <c r="P79" i="106"/>
  <c r="K64" i="106"/>
  <c r="J69" i="106"/>
  <c r="N63" i="106"/>
  <c r="P61" i="106"/>
  <c r="M63" i="106"/>
  <c r="O77" i="106"/>
  <c r="L77" i="106"/>
  <c r="N78" i="106"/>
  <c r="N79" i="106"/>
  <c r="L66" i="106"/>
  <c r="M73" i="106"/>
  <c r="O55" i="106"/>
  <c r="O50" i="106"/>
  <c r="M96" i="106"/>
  <c r="J105" i="106"/>
  <c r="K100" i="106"/>
  <c r="M91" i="106"/>
  <c r="L115" i="106"/>
  <c r="O93" i="106"/>
  <c r="N114" i="106"/>
  <c r="L102" i="106"/>
  <c r="O115" i="106"/>
  <c r="O99" i="106"/>
  <c r="J89" i="106"/>
  <c r="N112" i="106"/>
  <c r="P93" i="106"/>
  <c r="P107" i="106"/>
  <c r="L89" i="106"/>
  <c r="N105" i="106"/>
  <c r="J90" i="106"/>
  <c r="O88" i="106"/>
  <c r="P99" i="106"/>
  <c r="O108" i="106"/>
  <c r="N87" i="106"/>
  <c r="K90" i="106"/>
  <c r="L91" i="106"/>
  <c r="N113" i="106"/>
  <c r="N90" i="106"/>
  <c r="K84" i="106"/>
  <c r="M98" i="106"/>
  <c r="N111" i="106"/>
  <c r="J88" i="106"/>
  <c r="M93" i="106"/>
  <c r="K85" i="106"/>
  <c r="N102" i="106"/>
  <c r="O94" i="106"/>
  <c r="O107" i="106"/>
  <c r="P108" i="106"/>
  <c r="N99" i="106"/>
  <c r="M90" i="106"/>
  <c r="M115" i="106"/>
  <c r="L92" i="106"/>
  <c r="J102" i="106"/>
  <c r="N96" i="106"/>
  <c r="M114" i="106"/>
  <c r="L93" i="106"/>
  <c r="K114" i="106"/>
  <c r="K87" i="106"/>
  <c r="O98" i="106"/>
  <c r="L108" i="106"/>
  <c r="L112" i="106"/>
  <c r="M102" i="106"/>
  <c r="K102" i="106"/>
  <c r="L110" i="106"/>
  <c r="K93" i="106"/>
  <c r="P95" i="106"/>
  <c r="J100" i="106"/>
  <c r="P89" i="106"/>
  <c r="M112" i="106"/>
  <c r="N85" i="106"/>
  <c r="P115" i="106"/>
  <c r="O90" i="106"/>
  <c r="J108" i="106"/>
  <c r="L103" i="106"/>
  <c r="O106" i="106"/>
  <c r="O89" i="106"/>
  <c r="O113" i="106"/>
  <c r="K103" i="106"/>
  <c r="O104" i="106"/>
  <c r="L94" i="106"/>
  <c r="O86" i="106"/>
  <c r="K97" i="106"/>
  <c r="P90" i="106"/>
  <c r="P98" i="106"/>
  <c r="J95" i="106"/>
  <c r="P109" i="106"/>
  <c r="M86" i="106"/>
  <c r="O110" i="106"/>
  <c r="N100" i="106"/>
  <c r="M85" i="106"/>
  <c r="P102" i="106"/>
  <c r="J96" i="106"/>
  <c r="K95" i="106"/>
  <c r="J91" i="106"/>
  <c r="P100" i="106"/>
  <c r="P85" i="106"/>
  <c r="N91" i="106"/>
  <c r="M109" i="106"/>
  <c r="K106" i="106"/>
  <c r="P104" i="106"/>
  <c r="L114" i="106"/>
  <c r="N107" i="106"/>
  <c r="M105" i="106"/>
  <c r="P111" i="106"/>
  <c r="O100" i="106"/>
  <c r="K105" i="106"/>
  <c r="J110" i="106"/>
  <c r="K113" i="106"/>
  <c r="K96" i="106"/>
  <c r="M106" i="106"/>
  <c r="K86" i="106"/>
  <c r="N108" i="106"/>
  <c r="K99" i="106"/>
  <c r="K108" i="106"/>
  <c r="L105" i="106"/>
  <c r="N86" i="106"/>
  <c r="O91" i="106"/>
  <c r="O103" i="106"/>
  <c r="N97" i="106"/>
  <c r="J112" i="106"/>
  <c r="J113" i="106"/>
  <c r="N93" i="106"/>
  <c r="J107" i="106"/>
  <c r="J86" i="106"/>
  <c r="L98" i="106"/>
  <c r="J111" i="106"/>
  <c r="M108" i="106"/>
  <c r="O85" i="106"/>
  <c r="P101" i="106"/>
  <c r="J101" i="106"/>
  <c r="J84" i="106"/>
  <c r="O105" i="106"/>
  <c r="J104" i="106"/>
  <c r="L85" i="106"/>
  <c r="O84" i="106"/>
  <c r="J98" i="106"/>
  <c r="J92" i="106"/>
  <c r="P88" i="106"/>
  <c r="L107" i="106"/>
  <c r="K111" i="106"/>
  <c r="K112" i="106"/>
  <c r="N110" i="106"/>
  <c r="N94" i="106"/>
  <c r="P106" i="106"/>
  <c r="M100" i="106"/>
  <c r="O102" i="106"/>
  <c r="L95" i="106"/>
  <c r="N106" i="106"/>
  <c r="P97" i="106"/>
  <c r="O97" i="106"/>
  <c r="N109" i="106"/>
  <c r="P87" i="106"/>
  <c r="K88" i="106"/>
  <c r="N92" i="106"/>
  <c r="N84" i="106"/>
  <c r="N103" i="106"/>
  <c r="J99" i="106"/>
  <c r="J93" i="106"/>
  <c r="L97" i="106"/>
  <c r="K98" i="106"/>
  <c r="J94" i="106"/>
  <c r="K101" i="106"/>
  <c r="J109" i="106"/>
  <c r="N95" i="106"/>
  <c r="N88" i="106"/>
  <c r="P113" i="106"/>
  <c r="L96" i="106"/>
  <c r="M104" i="106"/>
  <c r="O112" i="106"/>
  <c r="M87" i="106"/>
  <c r="J106" i="106"/>
  <c r="J97" i="106"/>
  <c r="N98" i="106"/>
  <c r="K92" i="106"/>
  <c r="O109" i="106"/>
  <c r="P103" i="106"/>
  <c r="P105" i="106"/>
  <c r="K94" i="106"/>
  <c r="J114" i="106"/>
  <c r="P114" i="106"/>
  <c r="L113" i="106"/>
  <c r="O95" i="106"/>
  <c r="K115" i="106"/>
  <c r="O114" i="106"/>
  <c r="K91" i="106"/>
  <c r="M84" i="106"/>
  <c r="L100" i="106"/>
  <c r="K107" i="106"/>
  <c r="M88" i="106"/>
  <c r="P91" i="106"/>
  <c r="M92" i="106"/>
  <c r="L101" i="106"/>
  <c r="M103" i="106"/>
  <c r="J85" i="106"/>
  <c r="M99" i="106"/>
  <c r="M107" i="106"/>
  <c r="L99" i="106"/>
  <c r="L111" i="106"/>
  <c r="O87" i="106"/>
  <c r="J103" i="106"/>
  <c r="O111" i="106"/>
  <c r="P86" i="106"/>
  <c r="M110" i="106"/>
  <c r="K104" i="106"/>
  <c r="N104" i="106"/>
  <c r="L106" i="106"/>
  <c r="N89" i="106"/>
  <c r="L90" i="106"/>
  <c r="L88" i="106"/>
  <c r="M95" i="106"/>
  <c r="L104" i="106"/>
  <c r="L87" i="106"/>
  <c r="L109" i="106"/>
  <c r="P92" i="106"/>
  <c r="O96" i="106"/>
  <c r="P96" i="106"/>
  <c r="K109" i="106"/>
  <c r="N101" i="106"/>
  <c r="K110" i="106"/>
  <c r="M97" i="106"/>
  <c r="O101" i="106"/>
  <c r="J115" i="106"/>
  <c r="M101" i="106"/>
  <c r="L84" i="106"/>
  <c r="M113" i="106"/>
  <c r="L86" i="106"/>
  <c r="P94" i="106"/>
  <c r="O92" i="106"/>
  <c r="M94" i="106"/>
  <c r="P84" i="106"/>
  <c r="M89" i="106"/>
  <c r="P110" i="106"/>
  <c r="P112" i="106"/>
  <c r="N115" i="106"/>
  <c r="K89" i="106"/>
  <c r="M111" i="106"/>
  <c r="J87" i="106"/>
  <c r="V195" i="105"/>
  <c r="V200" i="105" s="1"/>
  <c r="V117" i="105"/>
  <c r="A4" i="65"/>
  <c r="J54" i="55"/>
  <c r="V57" i="105"/>
  <c r="V97" i="105" s="1"/>
  <c r="J16" i="106" a="1"/>
  <c r="T206" i="105" l="1"/>
  <c r="T73" i="82" s="1"/>
  <c r="T207" i="105"/>
  <c r="T74" i="82" s="1"/>
  <c r="V102" i="105"/>
  <c r="H97" i="105"/>
  <c r="V141" i="105"/>
  <c r="V147" i="105"/>
  <c r="H117" i="105"/>
  <c r="V122" i="105"/>
  <c r="K46" i="106"/>
  <c r="J43" i="106"/>
  <c r="P17" i="106"/>
  <c r="L30" i="106"/>
  <c r="M24" i="106"/>
  <c r="L44" i="106"/>
  <c r="J45" i="106"/>
  <c r="M17" i="106"/>
  <c r="N16" i="106"/>
  <c r="P29" i="106"/>
  <c r="N21" i="106"/>
  <c r="P23" i="106"/>
  <c r="K36" i="106"/>
  <c r="L31" i="106"/>
  <c r="K29" i="106"/>
  <c r="J39" i="106"/>
  <c r="J37" i="106"/>
  <c r="N17" i="106"/>
  <c r="L41" i="106"/>
  <c r="M21" i="106"/>
  <c r="N37" i="106"/>
  <c r="P31" i="106"/>
  <c r="N19" i="106"/>
  <c r="P39" i="106"/>
  <c r="P36" i="106"/>
  <c r="O21" i="106"/>
  <c r="P27" i="106"/>
  <c r="L40" i="106"/>
  <c r="M34" i="106"/>
  <c r="L37" i="106"/>
  <c r="O44" i="106"/>
  <c r="M33" i="106"/>
  <c r="K22" i="106"/>
  <c r="P38" i="106"/>
  <c r="K24" i="106"/>
  <c r="K18" i="106"/>
  <c r="J18" i="106"/>
  <c r="O38" i="106"/>
  <c r="P33" i="106"/>
  <c r="J27" i="106"/>
  <c r="K19" i="106"/>
  <c r="P34" i="106"/>
  <c r="N32" i="106"/>
  <c r="K41" i="106"/>
  <c r="O43" i="106"/>
  <c r="M35" i="106"/>
  <c r="M44" i="106"/>
  <c r="K32" i="106"/>
  <c r="P47" i="106"/>
  <c r="P44" i="106"/>
  <c r="K17" i="106"/>
  <c r="K35" i="106"/>
  <c r="K20" i="106"/>
  <c r="P21" i="106"/>
  <c r="L33" i="106"/>
  <c r="J41" i="106"/>
  <c r="L27" i="106"/>
  <c r="K28" i="106"/>
  <c r="N26" i="106"/>
  <c r="M18" i="106"/>
  <c r="J28" i="106"/>
  <c r="L43" i="106"/>
  <c r="O42" i="106"/>
  <c r="J46" i="106"/>
  <c r="M43" i="106"/>
  <c r="J17" i="106"/>
  <c r="K44" i="106"/>
  <c r="K23" i="106"/>
  <c r="P24" i="106"/>
  <c r="O30" i="106"/>
  <c r="N33" i="106"/>
  <c r="N18" i="106"/>
  <c r="N30" i="106"/>
  <c r="K26" i="106"/>
  <c r="J30" i="106"/>
  <c r="M27" i="106"/>
  <c r="K34" i="106"/>
  <c r="L26" i="106"/>
  <c r="P41" i="106"/>
  <c r="P19" i="106"/>
  <c r="L23" i="106"/>
  <c r="O37" i="106"/>
  <c r="O35" i="106"/>
  <c r="O27" i="106"/>
  <c r="J36" i="106"/>
  <c r="K45" i="106"/>
  <c r="P26" i="106"/>
  <c r="J42" i="106"/>
  <c r="M31" i="106"/>
  <c r="P32" i="106"/>
  <c r="M28" i="106"/>
  <c r="P20" i="106"/>
  <c r="P25" i="106"/>
  <c r="J40" i="106"/>
  <c r="M39" i="106"/>
  <c r="N36" i="106"/>
  <c r="J23" i="106"/>
  <c r="M29" i="106"/>
  <c r="K31" i="106"/>
  <c r="L16" i="106"/>
  <c r="L46" i="106"/>
  <c r="N31" i="106"/>
  <c r="O29" i="106"/>
  <c r="O28" i="106"/>
  <c r="N24" i="106"/>
  <c r="J35" i="106"/>
  <c r="N23" i="106"/>
  <c r="K43" i="106"/>
  <c r="J33" i="106"/>
  <c r="N35" i="106"/>
  <c r="O17" i="106"/>
  <c r="N38" i="106"/>
  <c r="L35" i="106"/>
  <c r="O33" i="106"/>
  <c r="N47" i="106"/>
  <c r="K38" i="106"/>
  <c r="M23" i="106"/>
  <c r="K37" i="106"/>
  <c r="J31" i="106"/>
  <c r="O45" i="106"/>
  <c r="P46" i="106"/>
  <c r="L42" i="106"/>
  <c r="J34" i="106"/>
  <c r="M20" i="106"/>
  <c r="M19" i="106"/>
  <c r="K39" i="106"/>
  <c r="J16" i="106"/>
  <c r="N25" i="106"/>
  <c r="O34" i="106"/>
  <c r="M46" i="106"/>
  <c r="O26" i="106"/>
  <c r="J44" i="106"/>
  <c r="M47" i="106"/>
  <c r="L39" i="106"/>
  <c r="P22" i="106"/>
  <c r="L45" i="106"/>
  <c r="O36" i="106"/>
  <c r="L21" i="106"/>
  <c r="K33" i="106"/>
  <c r="M41" i="106"/>
  <c r="L47" i="106"/>
  <c r="L22" i="106"/>
  <c r="N42" i="106"/>
  <c r="N41" i="106"/>
  <c r="K40" i="106"/>
  <c r="J19" i="106"/>
  <c r="L34" i="106"/>
  <c r="K16" i="106"/>
  <c r="O16" i="106"/>
  <c r="O31" i="106"/>
  <c r="J32" i="106"/>
  <c r="O47" i="106"/>
  <c r="N27" i="106"/>
  <c r="M30" i="106"/>
  <c r="L28" i="106"/>
  <c r="K25" i="106"/>
  <c r="J22" i="106"/>
  <c r="N45" i="106"/>
  <c r="P43" i="106"/>
  <c r="K27" i="106"/>
  <c r="L18" i="106"/>
  <c r="M25" i="106"/>
  <c r="L20" i="106"/>
  <c r="O25" i="106"/>
  <c r="N34" i="106"/>
  <c r="M37" i="106"/>
  <c r="O18" i="106"/>
  <c r="J29" i="106"/>
  <c r="M42" i="106"/>
  <c r="K21" i="106"/>
  <c r="O24" i="106"/>
  <c r="O19" i="106"/>
  <c r="L17" i="106"/>
  <c r="L36" i="106"/>
  <c r="M40" i="106"/>
  <c r="N44" i="106"/>
  <c r="L29" i="106"/>
  <c r="M22" i="106"/>
  <c r="J20" i="106"/>
  <c r="L38" i="106"/>
  <c r="N20" i="106"/>
  <c r="O20" i="106"/>
  <c r="J26" i="106"/>
  <c r="L25" i="106"/>
  <c r="J38" i="106"/>
  <c r="K30" i="106"/>
  <c r="M45" i="106"/>
  <c r="O23" i="106"/>
  <c r="M32" i="106"/>
  <c r="L19" i="106"/>
  <c r="P40" i="106"/>
  <c r="O39" i="106"/>
  <c r="M36" i="106"/>
  <c r="N28" i="106"/>
  <c r="N40" i="106"/>
  <c r="P16" i="106"/>
  <c r="J21" i="106"/>
  <c r="K42" i="106"/>
  <c r="P42" i="106"/>
  <c r="N29" i="106"/>
  <c r="J47" i="106"/>
  <c r="M38" i="106"/>
  <c r="O46" i="106"/>
  <c r="P37" i="106"/>
  <c r="N39" i="106"/>
  <c r="N22" i="106"/>
  <c r="M26" i="106"/>
  <c r="M16" i="106"/>
  <c r="N43" i="106"/>
  <c r="P35" i="106"/>
  <c r="P30" i="106"/>
  <c r="O40" i="106"/>
  <c r="K47" i="106"/>
  <c r="L32" i="106"/>
  <c r="P18" i="106"/>
  <c r="J24" i="106"/>
  <c r="P45" i="106"/>
  <c r="L24" i="106"/>
  <c r="O32" i="106"/>
  <c r="O22" i="106"/>
  <c r="P28" i="106"/>
  <c r="J25" i="106"/>
  <c r="O41" i="106"/>
  <c r="N46" i="106"/>
  <c r="H122" i="105" l="1"/>
  <c r="V142" i="105"/>
  <c r="V148" i="105"/>
  <c r="H102" i="105"/>
  <c r="V146" i="105"/>
  <c r="V63" i="82" s="1"/>
  <c r="V174" i="105"/>
  <c r="V65" i="82" s="1"/>
  <c r="V140" i="105"/>
  <c r="H119" i="106" a="1"/>
  <c r="H119" i="106" s="1"/>
  <c r="H132" i="105" l="1"/>
  <c r="H133" i="105" s="1"/>
  <c r="H136" i="105" s="1"/>
  <c r="V206" i="105"/>
  <c r="V73" i="82" s="1"/>
  <c r="V207" i="105"/>
  <c r="V74" i="82" s="1"/>
  <c r="V62" i="82"/>
  <c r="H78" i="82" s="1" a="1"/>
  <c r="H78" i="82" s="1"/>
  <c r="A4" i="106"/>
  <c r="J56" i="55"/>
  <c r="H135" i="105" l="1"/>
  <c r="H211" i="105" s="1" a="1"/>
  <c r="H211" i="105" s="1"/>
  <c r="A4" i="105" s="1"/>
  <c r="J57" i="55"/>
  <c r="A4" i="82"/>
  <c r="J55" i="55" l="1"/>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<sst xmlns="http://schemas.openxmlformats.org/spreadsheetml/2006/main" count="7915" uniqueCount="1160">
  <si>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</si>
  <si>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</si>
  <si>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</si>
  <si>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</si>
  <si>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</si>
  <si>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</si>
  <si>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</si>
  <si>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</si>
  <si>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</si>
  <si>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</si>
  <si>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</si>
  <si>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</si>
  <si>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</si>
  <si>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</si>
  <si>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</si>
  <si>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</si>
  <si>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</si>
  <si>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</si>
  <si>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</si>
  <si>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</si>
  <si>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</si>
  <si>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</si>
  <si>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</si>
  <si>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</si>
  <si>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</si>
  <si>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</si>
  <si>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</si>
  <si>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</si>
  <si>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</si>
  <si>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</si>
  <si>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</si>
  <si>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</si>
  <si>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</si>
  <si>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</si>
  <si>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</si>
  <si>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</si>
  <si>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</si>
  <si>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</si>
  <si>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</si>
  <si>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</si>
  <si>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</si>
  <si>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</si>
  <si>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</si>
  <si>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</si>
  <si>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</si>
  <si>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</si>
  <si>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</si>
  <si>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</si>
  <si>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</si>
  <si>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</si>
  <si>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</si>
  <si>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</si>
  <si>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</si>
  <si>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</si>
  <si>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</si>
  <si>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</si>
  <si>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</si>
  <si>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</si>
  <si>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</si>
  <si>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</si>
  <si>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</si>
  <si>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</si>
  <si>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</si>
  <si>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</si>
  <si>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</si>
  <si>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</si>
  <si>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</si>
  <si>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</si>
  <si>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</si>
  <si>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</si>
  <si>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</si>
  <si>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</si>
  <si>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</si>
  <si>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</si>
  <si>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</si>
  <si>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</si>
  <si>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</si>
  <si>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</si>
  <si>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</si>
  <si>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</si>
  <si>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</si>
  <si>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</si>
  <si>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</si>
  <si>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</si>
  <si>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</si>
  <si>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</si>
  <si>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</si>
  <si>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</si>
  <si>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</si>
  <si>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</si>
  <si>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</si>
  <si>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</si>
  <si>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</si>
  <si>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</si>
  <si>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</si>
  <si>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</si>
  <si>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</si>
  <si>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</si>
  <si>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</si>
  <si>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</si>
  <si>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</si>
  <si>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</si>
  <si>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</si>
  <si>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</si>
  <si>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</si>
  <si>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</si>
  <si>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</si>
  <si>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</si>
  <si>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</si>
  <si>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</si>
  <si>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</si>
  <si>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</si>
  <si>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</si>
  <si>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</si>
  <si>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</si>
  <si>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</si>
  <si>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</si>
  <si>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</si>
  <si>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</si>
  <si>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</si>
  <si>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</si>
  <si>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</si>
  <si>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</si>
  <si>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</si>
  <si>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</si>
  <si>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</si>
  <si>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</si>
  <si>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</si>
  <si>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</si>
  <si>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</si>
  <si>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</si>
  <si>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</si>
  <si>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</si>
  <si>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</si>
  <si>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</si>
  <si>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</si>
  <si>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</si>
  <si>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</si>
  <si>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</si>
  <si>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</si>
  <si>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</si>
  <si>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</si>
  <si>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</si>
  <si>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</si>
  <si>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</si>
  <si>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</si>
  <si>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</si>
  <si>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</si>
  <si>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</si>
  <si>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</si>
  <si>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</si>
  <si>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</si>
  <si>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</si>
  <si>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</si>
  <si>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</si>
  <si>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</si>
  <si>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</si>
  <si>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</si>
  <si>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</si>
  <si>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</si>
  <si>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</si>
  <si>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</si>
  <si>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</si>
  <si>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</si>
  <si>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</si>
  <si>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</si>
  <si>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</si>
  <si>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</si>
  <si>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</si>
  <si>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</si>
  <si>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</si>
  <si>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</si>
  <si>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</si>
  <si>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</si>
  <si>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</si>
  <si>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</si>
  <si>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</si>
  <si>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</si>
  <si>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</si>
  <si>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</si>
  <si>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</si>
  <si>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</si>
  <si>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</si>
  <si>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</si>
  <si>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</si>
  <si>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</si>
  <si>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</si>
  <si>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</si>
  <si>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</si>
  <si>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</si>
  <si>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</si>
  <si>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</si>
  <si>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</si>
  <si>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</si>
  <si>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</si>
  <si>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</si>
  <si>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</si>
  <si>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</si>
  <si>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</si>
  <si>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</si>
  <si>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</si>
  <si>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</si>
  <si>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</si>
  <si>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</si>
  <si>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</si>
  <si>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</si>
  <si>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</si>
  <si>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</si>
  <si>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</si>
  <si>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</si>
  <si>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</si>
  <si>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</si>
  <si>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</si>
  <si>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</si>
  <si>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</si>
  <si>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</si>
  <si>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</si>
  <si>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</si>
  <si>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</si>
  <si>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</si>
  <si>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</si>
  <si>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</si>
  <si>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</si>
  <si>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</si>
  <si>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</si>
  <si>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</si>
  <si>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</si>
  <si>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</si>
  <si>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</si>
  <si>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</si>
  <si>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</si>
  <si>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</si>
  <si>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</si>
  <si>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</si>
  <si>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</si>
  <si>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</si>
  <si>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</si>
  <si>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</si>
  <si>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</si>
  <si>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</si>
  <si>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</si>
  <si>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</si>
  <si>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</si>
  <si>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</si>
  <si>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</si>
  <si>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</si>
  <si>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</si>
  <si>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</si>
  <si>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</si>
  <si>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</si>
  <si>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</si>
  <si>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</si>
  <si>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</si>
  <si>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</si>
  <si>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</si>
  <si>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</si>
  <si>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</si>
  <si>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</si>
  <si>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</si>
  <si>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</si>
  <si>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</si>
  <si>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</si>
  <si>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</si>
  <si>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</si>
  <si>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</si>
  <si>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</si>
  <si>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</si>
  <si>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</si>
  <si>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</si>
  <si>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</si>
  <si>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</si>
  <si>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</si>
  <si>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</si>
  <si>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</si>
  <si>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</si>
  <si>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</si>
  <si>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</si>
  <si>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</si>
  <si>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</si>
  <si>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</si>
  <si>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</si>
  <si>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</si>
  <si>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</si>
  <si>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</si>
  <si>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</si>
  <si>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</si>
  <si>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</si>
  <si>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</si>
  <si>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</si>
  <si>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</si>
  <si>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</si>
  <si>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</si>
  <si>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</si>
  <si>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</si>
  <si>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</si>
  <si>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</si>
  <si>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</si>
  <si>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</si>
  <si>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</si>
  <si>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</si>
  <si>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</si>
  <si>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</si>
  <si>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</si>
  <si>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</si>
  <si>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</si>
  <si>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</si>
  <si>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</si>
  <si>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</si>
  <si>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</si>
  <si>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</si>
  <si>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</si>
  <si>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</si>
  <si>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</si>
  <si>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</si>
  <si>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</si>
  <si>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</si>
  <si>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</si>
  <si>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</si>
  <si>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</si>
  <si>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</si>
  <si>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</si>
  <si>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</si>
  <si>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</si>
  <si>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</si>
  <si>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</si>
  <si>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</si>
  <si>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</si>
  <si>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</si>
  <si>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</si>
  <si>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</si>
  <si>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</si>
  <si>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</si>
  <si>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</si>
  <si>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</si>
  <si>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</si>
  <si>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</si>
  <si>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</si>
  <si>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</si>
  <si>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</si>
  <si>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</si>
  <si>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</si>
  <si>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</si>
  <si>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</si>
  <si>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</si>
  <si>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</si>
  <si>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</si>
  <si>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</si>
  <si>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</si>
  <si>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</si>
  <si>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</si>
  <si>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</si>
  <si>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</si>
  <si>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</si>
  <si>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</si>
  <si>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</si>
  <si>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</si>
  <si>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</si>
  <si>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</si>
  <si>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</si>
  <si>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</si>
  <si>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</si>
  <si>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</si>
  <si>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</si>
  <si>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</si>
  <si>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</si>
  <si>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</si>
  <si>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</si>
  <si>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</si>
  <si>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</si>
  <si>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</si>
  <si>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</si>
  <si>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</si>
  <si>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</si>
  <si>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</si>
  <si>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</si>
  <si>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</si>
  <si>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</si>
  <si>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</si>
  <si>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</si>
  <si>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</si>
  <si>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</si>
  <si>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</si>
  <si>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</si>
  <si>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</si>
  <si>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</si>
  <si>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</si>
  <si>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</si>
  <si>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</si>
  <si>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</si>
  <si>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</si>
  <si>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</si>
  <si>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</si>
  <si>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</si>
  <si>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</si>
  <si>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</si>
  <si>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</si>
  <si>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</si>
  <si>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</si>
  <si>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</si>
  <si>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</si>
  <si>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</si>
  <si>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</si>
  <si>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</si>
  <si>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</si>
  <si>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</si>
  <si>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</si>
  <si>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</si>
  <si>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</si>
  <si>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</si>
  <si>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</si>
  <si>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</si>
  <si>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</si>
  <si>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</si>
  <si>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</si>
  <si>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</si>
  <si>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</si>
  <si>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</si>
  <si>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</si>
  <si>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</si>
  <si>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</si>
  <si>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</si>
  <si>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</si>
  <si>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</si>
  <si>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</si>
  <si>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</si>
  <si>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</si>
  <si>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</si>
  <si>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</si>
  <si>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</si>
  <si>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</si>
  <si>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</si>
  <si>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</si>
  <si>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</si>
  <si>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</si>
  <si>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</si>
  <si>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</si>
  <si>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</si>
  <si>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</si>
  <si>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</si>
  <si>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</si>
  <si>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</si>
  <si>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</si>
  <si>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</si>
  <si>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</si>
  <si>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</si>
  <si>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</si>
  <si>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</si>
  <si>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</si>
  <si>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</si>
  <si>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</si>
  <si>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</si>
  <si>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</si>
  <si>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</si>
  <si>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</si>
  <si>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</si>
  <si>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</si>
  <si>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</si>
  <si>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</si>
  <si>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</si>
  <si>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</si>
  <si>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</si>
  <si>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</si>
  <si>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</si>
  <si>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</si>
  <si>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</si>
  <si>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</si>
  <si>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</si>
  <si>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</si>
  <si>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</si>
  <si>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</si>
  <si>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</si>
  <si>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</si>
  <si>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</si>
  <si>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</si>
  <si>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</si>
  <si>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</si>
  <si>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</si>
  <si>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</si>
  <si>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</si>
  <si>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</si>
  <si>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</si>
  <si>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</si>
  <si>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</si>
  <si>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</si>
  <si>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</si>
  <si>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</si>
  <si>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</si>
  <si>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</si>
  <si>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</si>
  <si>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</si>
  <si>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</si>
  <si>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</si>
  <si>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</si>
  <si>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</si>
  <si>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</si>
  <si>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</si>
  <si>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</si>
  <si>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</si>
  <si>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</si>
  <si>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</si>
  <si>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</si>
  <si>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</si>
  <si>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</si>
  <si>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</si>
  <si>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</si>
  <si>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</si>
  <si>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</si>
  <si>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</si>
  <si>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</si>
  <si>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</si>
  <si>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</si>
  <si>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</si>
  <si>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</si>
  <si>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</si>
  <si>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</si>
  <si>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</si>
  <si>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</si>
  <si>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</si>
  <si>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</si>
  <si>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</si>
  <si>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</si>
  <si>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</si>
  <si>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</si>
  <si>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</si>
  <si>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</si>
  <si>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</si>
  <si>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</si>
  <si>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</si>
  <si>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</si>
  <si>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</si>
  <si>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</si>
  <si>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</si>
  <si>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</si>
  <si>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</si>
  <si>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</si>
  <si>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</si>
  <si>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</si>
  <si>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</si>
  <si>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</si>
  <si>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</si>
  <si>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</si>
  <si>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</si>
  <si>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</si>
  <si>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</si>
  <si>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</si>
  <si>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</si>
  <si>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</si>
  <si>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</si>
  <si>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</si>
  <si>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</si>
  <si>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</si>
  <si>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</si>
  <si>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</si>
  <si>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</si>
  <si>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</si>
  <si>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</si>
  <si>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</si>
  <si>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</si>
  <si>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</si>
  <si>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</si>
  <si>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</si>
  <si>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</si>
  <si>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</si>
  <si>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</si>
  <si>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</si>
  <si>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</si>
  <si>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</si>
  <si>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</si>
  <si>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</si>
  <si>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</si>
  <si>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</si>
  <si>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</si>
  <si>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</si>
  <si>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</si>
  <si>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</si>
  <si>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</si>
  <si>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</si>
  <si>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</si>
  <si>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</si>
  <si>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</si>
  <si>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</si>
  <si>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</si>
  <si>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</si>
  <si>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</si>
  <si>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</si>
  <si>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</si>
  <si>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</si>
  <si>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</si>
  <si>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</si>
  <si>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</si>
  <si>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</si>
  <si>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</si>
  <si>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</si>
  <si>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</si>
  <si>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</si>
  <si>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</si>
  <si>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</si>
  <si>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</si>
  <si>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</si>
  <si>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</si>
  <si>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</si>
  <si>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</si>
  <si>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</si>
  <si>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</si>
  <si>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</si>
  <si>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</si>
  <si>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</si>
  <si>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</si>
  <si>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</si>
  <si>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</si>
  <si>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</si>
  <si>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</si>
  <si>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</si>
  <si>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</si>
  <si>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</si>
  <si>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</si>
  <si>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</si>
  <si>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</si>
  <si>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</si>
  <si>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</si>
  <si>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</si>
  <si>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</si>
  <si>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</si>
  <si>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</si>
  <si>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</si>
  <si>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</si>
  <si>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</si>
  <si>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</si>
  <si>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</si>
  <si>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</si>
  <si>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</si>
  <si>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</si>
  <si>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</si>
  <si>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</si>
  <si>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</si>
  <si>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</si>
  <si>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</si>
  <si>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</si>
  <si>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</si>
  <si>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</si>
  <si>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</si>
  <si>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</si>
  <si>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</si>
  <si>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</si>
  <si>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</si>
  <si>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</si>
  <si>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</si>
  <si>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</si>
  <si>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</si>
  <si>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</si>
  <si>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</si>
  <si>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</si>
  <si>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</si>
  <si>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</si>
  <si>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</si>
  <si>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</si>
  <si>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</si>
  <si>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</si>
  <si>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</si>
  <si>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</si>
  <si>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</si>
  <si>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</si>
  <si>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</si>
  <si>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</si>
  <si>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</si>
  <si>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</si>
  <si>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</si>
  <si>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</si>
  <si>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</si>
  <si>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</si>
  <si>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</si>
  <si>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</si>
  <si>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</si>
  <si>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</si>
  <si>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</si>
  <si>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</si>
  <si>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</si>
  <si>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</si>
  <si>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</si>
  <si>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</si>
  <si>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</si>
  <si>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</si>
  <si>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</si>
  <si>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</si>
  <si>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</si>
  <si>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</si>
  <si>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</si>
  <si>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</si>
  <si>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</si>
  <si>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</si>
  <si>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</si>
  <si>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</si>
  <si>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</si>
  <si>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</si>
  <si>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</si>
  <si>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</si>
  <si>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</si>
  <si>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</si>
  <si>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</si>
  <si>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</si>
  <si>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</si>
  <si>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</si>
  <si>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</si>
  <si>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</si>
  <si>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</si>
  <si>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</si>
  <si>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</si>
  <si>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</si>
  <si>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</si>
  <si>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</si>
  <si>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</si>
  <si>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</si>
  <si>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</si>
  <si>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</si>
  <si>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</si>
  <si>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</si>
  <si>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</si>
  <si>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</si>
  <si>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</si>
  <si>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</si>
  <si>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</si>
  <si>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</si>
  <si>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</si>
  <si>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</si>
  <si>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</si>
  <si>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</si>
  <si>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</si>
  <si>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</si>
  <si>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</si>
  <si>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</si>
  <si>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</si>
  <si>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</si>
  <si>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</si>
  <si>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</si>
  <si>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</si>
  <si>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</si>
  <si>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</si>
  <si>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</si>
  <si>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</si>
  <si>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</si>
  <si>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</si>
  <si>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</si>
  <si>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</si>
  <si>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</si>
  <si>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</si>
  <si>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</si>
  <si>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</si>
  <si>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</si>
  <si>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</si>
  <si>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</si>
  <si>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</si>
  <si>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</si>
  <si>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</si>
  <si>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</si>
  <si>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</si>
  <si>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</si>
  <si>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</si>
  <si>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</si>
  <si>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</si>
  <si>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</si>
  <si>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</si>
  <si>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</si>
  <si>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</si>
  <si>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</si>
  <si>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</si>
  <si>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</si>
  <si>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</si>
  <si>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</si>
  <si>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</si>
  <si>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</si>
  <si>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</si>
  <si>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</si>
  <si>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</si>
  <si>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</si>
  <si>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</si>
  <si>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</si>
  <si>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</si>
  <si>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</si>
  <si>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</si>
  <si>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</si>
  <si>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</si>
  <si>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</si>
  <si>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</si>
  <si>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</si>
  <si>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</si>
  <si>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</si>
  <si>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</si>
  <si>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</si>
  <si>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</si>
  <si>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</si>
  <si>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</si>
  <si>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</si>
  <si>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</si>
  <si>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</si>
  <si>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</si>
  <si>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</si>
  <si>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</si>
  <si>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</si>
  <si>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</si>
  <si>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</si>
  <si>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</si>
  <si>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</si>
  <si>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</si>
  <si>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</si>
  <si>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</si>
  <si>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</si>
  <si>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</si>
  <si>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</si>
  <si>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</si>
  <si>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</si>
  <si>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</si>
  <si>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</si>
  <si>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</si>
  <si>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</si>
  <si>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</si>
  <si>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</si>
  <si>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</si>
  <si>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</si>
  <si>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</si>
  <si>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</si>
  <si>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</si>
  <si>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</si>
  <si>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</si>
  <si>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</si>
  <si>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</si>
  <si>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</si>
  <si>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</si>
  <si>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</si>
  <si>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</si>
  <si>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</si>
  <si>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</si>
  <si>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</si>
  <si>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</si>
  <si>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</si>
  <si>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</si>
  <si>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</si>
  <si>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</si>
  <si>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</si>
  <si>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</si>
  <si>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</si>
  <si>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</si>
  <si>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</si>
  <si>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</si>
  <si>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</si>
  <si>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</si>
  <si>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</si>
  <si>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</si>
  <si>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</si>
  <si>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</si>
  <si>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</si>
  <si>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</si>
  <si>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</si>
  <si>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</si>
  <si>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</si>
  <si>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</si>
  <si>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</si>
  <si>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</si>
  <si>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</si>
  <si>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</si>
  <si>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</si>
  <si>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</si>
  <si>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</si>
  <si>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</si>
  <si>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</si>
  <si>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</si>
  <si>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</si>
  <si>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</si>
  <si>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</si>
  <si>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</si>
  <si>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</si>
  <si>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</si>
  <si>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</si>
  <si>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</si>
  <si>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</si>
  <si>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</si>
  <si>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</si>
  <si>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</si>
  <si>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</si>
  <si>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</si>
  <si>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</si>
  <si>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</si>
  <si>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</si>
  <si>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</si>
  <si>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</si>
  <si>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</si>
  <si>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</si>
  <si>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</si>
  <si>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</si>
  <si>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</si>
  <si>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</si>
  <si>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</si>
  <si>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</si>
  <si>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</si>
  <si>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</si>
  <si>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</si>
  <si>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</si>
  <si>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</si>
  <si>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</si>
  <si>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</si>
  <si>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</si>
  <si>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</si>
  <si>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</si>
  <si>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</si>
  <si>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</si>
  <si>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</si>
  <si>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</si>
  <si>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</si>
  <si>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</si>
  <si>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</si>
  <si>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</si>
  <si>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</si>
  <si>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</si>
  <si>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</si>
  <si>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</si>
  <si>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</si>
  <si>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</si>
  <si>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</si>
  <si>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</si>
  <si>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</si>
  <si>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</si>
  <si>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</si>
  <si>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</si>
  <si>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</si>
  <si>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</si>
  <si>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</si>
  <si>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</si>
  <si>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</si>
  <si>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</si>
  <si>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</si>
  <si>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</si>
  <si>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</si>
  <si>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</si>
  <si>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</si>
  <si>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</si>
  <si>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</si>
  <si>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</si>
  <si>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</si>
  <si>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</si>
  <si>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</si>
  <si>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</si>
  <si>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</si>
  <si>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</si>
  <si>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</si>
  <si>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</si>
  <si>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</si>
  <si>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</si>
  <si>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</si>
  <si>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</si>
  <si>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</si>
  <si>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</si>
  <si>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</si>
  <si>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</si>
  <si>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</si>
  <si>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</si>
  <si>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</si>
  <si>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</si>
  <si>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</si>
  <si>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</si>
  <si>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</si>
  <si>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</si>
  <si>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</si>
  <si>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</si>
  <si>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</si>
  <si>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</si>
  <si>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</si>
  <si>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</si>
  <si>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</si>
  <si>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</si>
  <si>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</si>
  <si>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</si>
  <si>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</si>
  <si>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</si>
  <si>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</si>
  <si>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</si>
  <si>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</si>
  <si>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</si>
  <si>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</si>
  <si>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</si>
  <si>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</si>
  <si>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</si>
  <si>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</si>
  <si>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</si>
  <si>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</si>
  <si>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</si>
  <si>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</si>
  <si>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</si>
  <si>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</si>
  <si>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</si>
  <si>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</si>
  <si>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</si>
  <si>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</si>
  <si>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</si>
  <si>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</si>
  <si>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</si>
  <si>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</si>
  <si>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</si>
  <si>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</si>
  <si>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</si>
  <si>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</si>
  <si>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</si>
  <si>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</si>
  <si>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</si>
  <si>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</si>
  <si>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</si>
  <si>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</si>
  <si>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</si>
  <si>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</si>
  <si>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</si>
  <si>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</si>
  <si>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</si>
  <si>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</si>
  <si>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</si>
  <si>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</si>
  <si>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</si>
  <si>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</si>
  <si>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</si>
  <si>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</si>
  <si>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</si>
  <si>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</si>
  <si>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</si>
  <si>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</si>
  <si>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</si>
  <si>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</si>
  <si>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</si>
  <si>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</si>
  <si>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</si>
  <si>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</si>
  <si>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</si>
  <si>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</si>
  <si>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</si>
  <si>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</si>
  <si>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</si>
  <si>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</si>
  <si>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</si>
  <si>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</si>
  <si>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</si>
  <si>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</si>
  <si>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</si>
  <si>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</si>
  <si>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</si>
  <si>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</si>
  <si>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</si>
  <si>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</si>
  <si>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</si>
  <si>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</si>
  <si>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</si>
  <si>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</si>
  <si>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</si>
  <si>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</si>
  <si>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</si>
  <si>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</si>
  <si>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</si>
  <si>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</si>
  <si>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</si>
  <si>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</si>
  <si>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</si>
  <si>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</si>
  <si>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</si>
  <si>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</si>
  <si>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</si>
  <si>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</si>
  <si>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</si>
  <si>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</si>
  <si>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</si>
  <si>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</si>
  <si>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</si>
  <si>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</si>
  <si>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</si>
  <si>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</si>
  <si>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</si>
  <si>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</si>
  <si>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</si>
  <si>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</si>
  <si>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</si>
  <si>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</si>
  <si>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</si>
  <si>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</si>
  <si>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</si>
  <si>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</si>
  <si>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</si>
  <si>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</si>
  <si>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</si>
  <si>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</si>
  <si>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</si>
  <si>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</si>
  <si>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</si>
  <si>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</si>
  <si>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</si>
  <si>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</si>
  <si>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</si>
  <si>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</si>
  <si>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</si>
  <si>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</si>
  <si>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</si>
  <si>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</si>
  <si>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</si>
  <si>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</si>
  <si>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</si>
  <si>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</si>
  <si>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</si>
  <si>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</si>
  <si>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</si>
  <si>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</si>
  <si>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</si>
  <si>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</si>
  <si>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</si>
  <si>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</si>
  <si>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</si>
  <si>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</si>
  <si>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</si>
  <si>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</si>
  <si>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</si>
  <si>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</si>
  <si>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</si>
  <si>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</si>
  <si>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</si>
  <si>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</si>
  <si>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</si>
  <si>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</si>
  <si>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</si>
  <si>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</si>
  <si>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</si>
  <si>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</si>
  <si>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</si>
  <si>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</si>
  <si>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</si>
  <si>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</si>
  <si>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</si>
  <si>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</si>
  <si>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</si>
  <si>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</si>
  <si>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</si>
  <si>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</si>
  <si>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</si>
  <si>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</si>
  <si>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</si>
  <si>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</si>
  <si>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</si>
  <si>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</si>
  <si>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</si>
  <si>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</si>
  <si>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</si>
  <si>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</si>
  <si>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</si>
  <si>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</si>
  <si>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</si>
  <si>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</si>
  <si>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</si>
  <si>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</si>
  <si>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</si>
  <si>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</si>
  <si>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</si>
  <si>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</si>
  <si>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</si>
  <si>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</si>
  <si>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</si>
  <si>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</si>
  <si>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</si>
  <si>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South West</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</si>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</sst>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
    <numFmt numFmtId="184" formatCode="#,##0.00000000000_ ;\-#,##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opLeftCell="A17"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296"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2.1999999999999999E-2</v>
      </c>
      <c r="L19" s="116">
        <f>'Inputs by network level'!L15</f>
        <v>3.1E-2</v>
      </c>
      <c r="M19" s="94"/>
      <c r="N19" s="116">
        <f>'Inputs by network level'!N15</f>
        <v>7.4999999999999997E-2</v>
      </c>
      <c r="O19" s="94"/>
      <c r="P19" s="94"/>
      <c r="Q19" s="116">
        <f>'Inputs by network level'!Q15</f>
        <v>0.37</v>
      </c>
      <c r="R19" s="94"/>
      <c r="S19" s="94"/>
      <c r="T19" s="66"/>
      <c r="U19" s="66"/>
    </row>
    <row r="20" spans="2:23" x14ac:dyDescent="0.3">
      <c r="E20" t="s">
        <v>243</v>
      </c>
      <c r="F20" s="115"/>
      <c r="G20" s="13" t="s">
        <v>167</v>
      </c>
      <c r="H20" s="3"/>
      <c r="I20" s="3"/>
      <c r="J20" s="117">
        <f t="shared" ref="J20" si="0">IF(I20 = "", 1, I20 / (1 + J19))</f>
        <v>1</v>
      </c>
      <c r="K20" s="117">
        <f>IF(J20 = "", 1, J20 / (1 + K19))</f>
        <v>0.97847358121330719</v>
      </c>
      <c r="L20" s="117">
        <f t="shared" ref="L20:S20" si="1">IF(K20 = "", 1, K20 / (1 + L19))</f>
        <v>0.94905294007110308</v>
      </c>
      <c r="M20" s="117">
        <f t="shared" si="1"/>
        <v>0.94905294007110308</v>
      </c>
      <c r="N20" s="117">
        <f t="shared" si="1"/>
        <v>0.88283994425218892</v>
      </c>
      <c r="O20" s="117">
        <f t="shared" si="1"/>
        <v>0.88283994425218892</v>
      </c>
      <c r="P20" s="117">
        <f t="shared" si="1"/>
        <v>0.88283994425218892</v>
      </c>
      <c r="Q20" s="117">
        <f t="shared" si="1"/>
        <v>0.64440871843225467</v>
      </c>
      <c r="R20" s="117">
        <f t="shared" si="1"/>
        <v>0.64440871843225467</v>
      </c>
      <c r="S20" s="117">
        <f t="shared" si="1"/>
        <v>0.64440871843225467</v>
      </c>
      <c r="T20" s="66"/>
      <c r="U20" s="66"/>
    </row>
    <row r="21" spans="2:23" x14ac:dyDescent="0.3">
      <c r="E21" t="s">
        <v>388</v>
      </c>
      <c r="F21" s="115"/>
      <c r="G21" s="13" t="s">
        <v>167</v>
      </c>
      <c r="H21" s="3"/>
      <c r="I21" s="3"/>
      <c r="J21" s="117">
        <f>1 / J20 - 1</f>
        <v>0</v>
      </c>
      <c r="K21" s="117">
        <f t="shared" ref="K21:S21" si="2">1 / K20 - 1</f>
        <v>2.200000000000002E-2</v>
      </c>
      <c r="L21" s="117">
        <f t="shared" si="2"/>
        <v>5.3682000000000007E-2</v>
      </c>
      <c r="M21" s="117">
        <f t="shared" si="2"/>
        <v>5.3682000000000007E-2</v>
      </c>
      <c r="N21" s="117">
        <f t="shared" si="2"/>
        <v>0.13270815000000002</v>
      </c>
      <c r="O21" s="117">
        <f t="shared" si="2"/>
        <v>0.13270815000000002</v>
      </c>
      <c r="P21" s="117">
        <f t="shared" si="2"/>
        <v>0.13270815000000002</v>
      </c>
      <c r="Q21" s="117">
        <f t="shared" si="2"/>
        <v>0.55181016550000006</v>
      </c>
      <c r="R21" s="117">
        <f t="shared" si="2"/>
        <v>0.55181016550000006</v>
      </c>
      <c r="S21" s="117">
        <f t="shared" si="2"/>
        <v>0.55181016550000006</v>
      </c>
      <c r="T21" s="66"/>
      <c r="U21" s="66"/>
    </row>
    <row r="22" spans="2:23" x14ac:dyDescent="0.3">
      <c r="E22" t="s">
        <v>389</v>
      </c>
      <c r="F22" s="115"/>
      <c r="G22" s="13" t="s">
        <v>167</v>
      </c>
      <c r="H22" s="3"/>
      <c r="I22" s="3"/>
      <c r="J22" s="94"/>
      <c r="K22" s="94"/>
      <c r="L22" s="94"/>
      <c r="M22" s="94"/>
      <c r="N22" s="94"/>
      <c r="O22" s="94"/>
      <c r="P22" s="117">
        <f>M21</f>
        <v>5.3682000000000007E-2</v>
      </c>
      <c r="Q22" s="94"/>
      <c r="R22" s="94"/>
      <c r="S22" s="94"/>
      <c r="T22" s="66"/>
      <c r="U22" s="66"/>
    </row>
    <row r="23" spans="2:23" x14ac:dyDescent="0.3">
      <c r="E23" t="s">
        <v>390</v>
      </c>
      <c r="F23" s="115"/>
      <c r="G23" s="13" t="s">
        <v>167</v>
      </c>
      <c r="H23" s="3"/>
      <c r="I23" s="3" t="s">
        <v>154</v>
      </c>
      <c r="J23" s="118">
        <f t="shared" ref="J23:S23" si="3">IF(J22 = "", J21, J22)</f>
        <v>0</v>
      </c>
      <c r="K23" s="118">
        <f t="shared" si="3"/>
        <v>2.200000000000002E-2</v>
      </c>
      <c r="L23" s="118">
        <f t="shared" si="3"/>
        <v>5.3682000000000007E-2</v>
      </c>
      <c r="M23" s="118">
        <f t="shared" si="3"/>
        <v>5.3682000000000007E-2</v>
      </c>
      <c r="N23" s="118">
        <f t="shared" si="3"/>
        <v>0.13270815000000002</v>
      </c>
      <c r="O23" s="118">
        <f t="shared" si="3"/>
        <v>0.13270815000000002</v>
      </c>
      <c r="P23" s="118">
        <f t="shared" si="3"/>
        <v>5.3682000000000007E-2</v>
      </c>
      <c r="Q23" s="118">
        <f t="shared" si="3"/>
        <v>0.55181016550000006</v>
      </c>
      <c r="R23" s="118">
        <f t="shared" si="3"/>
        <v>0.55181016550000006</v>
      </c>
      <c r="S23" s="118">
        <f t="shared" si="3"/>
        <v>0.55181016550000006</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1.0009999999999999</v>
      </c>
      <c r="M27" s="120">
        <f>'Inputs by network level'!M19</f>
        <v>1.004</v>
      </c>
      <c r="N27" s="120">
        <f>'Inputs by network level'!N19</f>
        <v>1.0109999999999999</v>
      </c>
      <c r="O27" s="120">
        <f>'Inputs by network level'!O19</f>
        <v>1.016</v>
      </c>
      <c r="P27" s="79"/>
      <c r="Q27" s="120">
        <f>'Inputs by network level'!Q19</f>
        <v>1.0329999999999999</v>
      </c>
      <c r="R27" s="120">
        <f>'Inputs by network level'!R19</f>
        <v>1.046</v>
      </c>
      <c r="S27" s="120">
        <f>'Inputs by network level'!S19</f>
        <v>1.0609999999999999</v>
      </c>
      <c r="T27" s="79"/>
      <c r="U27" s="79"/>
    </row>
    <row r="28" spans="2:23" x14ac:dyDescent="0.3">
      <c r="E28" t="s">
        <v>393</v>
      </c>
      <c r="F28" s="119"/>
      <c r="G28" s="72" t="s">
        <v>283</v>
      </c>
      <c r="H28" s="3"/>
      <c r="I28" s="3"/>
      <c r="J28" s="98">
        <f>K27</f>
        <v>1</v>
      </c>
      <c r="K28" s="79"/>
      <c r="L28" s="79"/>
      <c r="M28" s="79"/>
      <c r="N28" s="79"/>
      <c r="O28" s="79"/>
      <c r="P28" s="98">
        <f>O27</f>
        <v>1.016</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1.0009999999999999</v>
      </c>
      <c r="M29" s="121">
        <f t="shared" si="4"/>
        <v>1.004</v>
      </c>
      <c r="N29" s="121">
        <f t="shared" si="4"/>
        <v>1.0109999999999999</v>
      </c>
      <c r="O29" s="121">
        <f t="shared" si="4"/>
        <v>1.016</v>
      </c>
      <c r="P29" s="121">
        <f t="shared" si="4"/>
        <v>1.016</v>
      </c>
      <c r="Q29" s="121">
        <f t="shared" si="4"/>
        <v>1.0329999999999999</v>
      </c>
      <c r="R29" s="121">
        <f t="shared" si="4"/>
        <v>1.046</v>
      </c>
      <c r="S29" s="121">
        <f t="shared" si="4"/>
        <v>1.0609999999999999</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v>
      </c>
      <c r="I37" s="3"/>
    </row>
    <row r="38" spans="3:23" x14ac:dyDescent="0.3">
      <c r="E38" t="s">
        <v>397</v>
      </c>
      <c r="F38" s="115"/>
      <c r="G38" s="13" t="s">
        <v>167</v>
      </c>
      <c r="H38" s="3"/>
      <c r="I38" s="3"/>
      <c r="J38" s="66"/>
      <c r="K38" s="66"/>
      <c r="L38" s="66"/>
      <c r="M38" s="122">
        <f>1 - $H$37</f>
        <v>1</v>
      </c>
      <c r="N38" s="122">
        <f>1 - $H$37</f>
        <v>1</v>
      </c>
      <c r="O38" s="122">
        <f>1 - $H$37</f>
        <v>1</v>
      </c>
      <c r="P38" s="123">
        <f>H37</f>
        <v>0</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1</v>
      </c>
      <c r="N65" s="126">
        <f t="shared" si="5"/>
        <v>1</v>
      </c>
      <c r="O65" s="126">
        <f t="shared" si="5"/>
        <v>1</v>
      </c>
      <c r="P65" s="126">
        <f t="shared" si="5"/>
        <v>0</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1</v>
      </c>
      <c r="N66" s="98">
        <f t="shared" si="6"/>
        <v>1</v>
      </c>
      <c r="O66" s="98">
        <f t="shared" si="6"/>
        <v>1</v>
      </c>
      <c r="P66" s="98">
        <f t="shared" si="6"/>
        <v>0</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1</v>
      </c>
      <c r="N67" s="98">
        <f t="shared" si="7"/>
        <v>1</v>
      </c>
      <c r="O67" s="98">
        <f t="shared" si="7"/>
        <v>1</v>
      </c>
      <c r="P67" s="98">
        <f t="shared" si="7"/>
        <v>0</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1</v>
      </c>
      <c r="N68" s="98">
        <f t="shared" si="8"/>
        <v>1</v>
      </c>
      <c r="O68" s="98">
        <f t="shared" si="8"/>
        <v>1</v>
      </c>
      <c r="P68" s="98">
        <f t="shared" si="8"/>
        <v>0</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1</v>
      </c>
      <c r="N69" s="98">
        <f t="shared" si="9"/>
        <v>1</v>
      </c>
      <c r="O69" s="98">
        <f t="shared" si="9"/>
        <v>1</v>
      </c>
      <c r="P69" s="98">
        <f t="shared" si="9"/>
        <v>0</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1</v>
      </c>
      <c r="N70" s="98">
        <f t="shared" si="10"/>
        <v>1</v>
      </c>
      <c r="O70" s="98">
        <f t="shared" si="10"/>
        <v>1</v>
      </c>
      <c r="P70" s="98">
        <f t="shared" si="10"/>
        <v>0</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1</v>
      </c>
      <c r="N71" s="98">
        <f t="shared" si="11"/>
        <v>1</v>
      </c>
      <c r="O71" s="98">
        <f t="shared" si="11"/>
        <v>1</v>
      </c>
      <c r="P71" s="98">
        <f t="shared" si="11"/>
        <v>0</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1</v>
      </c>
      <c r="N72" s="98">
        <f t="shared" si="12"/>
        <v>1</v>
      </c>
      <c r="O72" s="98">
        <f t="shared" si="12"/>
        <v>1</v>
      </c>
      <c r="P72" s="98">
        <f t="shared" si="12"/>
        <v>0</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-1</v>
      </c>
      <c r="N73" s="98">
        <f t="shared" si="13"/>
        <v>-1</v>
      </c>
      <c r="O73" s="98">
        <f t="shared" si="13"/>
        <v>-1</v>
      </c>
      <c r="P73" s="98">
        <f t="shared" si="13"/>
        <v>0</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-1</v>
      </c>
      <c r="N74" s="98">
        <f t="shared" si="14"/>
        <v>-1</v>
      </c>
      <c r="O74" s="98">
        <f t="shared" si="14"/>
        <v>-1</v>
      </c>
      <c r="P74" s="98">
        <f t="shared" si="14"/>
        <v>0</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-1</v>
      </c>
      <c r="N75" s="98">
        <f t="shared" si="15"/>
        <v>-1</v>
      </c>
      <c r="O75" s="98">
        <f t="shared" si="15"/>
        <v>-1</v>
      </c>
      <c r="P75" s="98">
        <f t="shared" si="15"/>
        <v>0</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-1</v>
      </c>
      <c r="N76" s="98">
        <f t="shared" si="16"/>
        <v>-1</v>
      </c>
      <c r="O76" s="98">
        <f t="shared" si="16"/>
        <v>-1</v>
      </c>
      <c r="P76" s="98">
        <f t="shared" si="16"/>
        <v>0</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-1</v>
      </c>
      <c r="N77" s="98">
        <f t="shared" si="17"/>
        <v>-1</v>
      </c>
      <c r="O77" s="98">
        <f t="shared" si="17"/>
        <v>-1</v>
      </c>
      <c r="P77" s="98">
        <f t="shared" si="17"/>
        <v>0</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-1</v>
      </c>
      <c r="N78" s="98">
        <f t="shared" si="18"/>
        <v>-1</v>
      </c>
      <c r="O78" s="98">
        <f t="shared" si="18"/>
        <v>-1</v>
      </c>
      <c r="P78" s="98">
        <f t="shared" si="18"/>
        <v>0</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-1</v>
      </c>
      <c r="N79" s="98">
        <f t="shared" si="19"/>
        <v>-1</v>
      </c>
      <c r="O79" s="98">
        <f t="shared" si="19"/>
        <v>-1</v>
      </c>
      <c r="P79" s="98">
        <f t="shared" si="19"/>
        <v>0</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-1</v>
      </c>
      <c r="N80" s="100">
        <f t="shared" si="20"/>
        <v>-1</v>
      </c>
      <c r="O80" s="100">
        <f t="shared" si="20"/>
        <v>-1</v>
      </c>
      <c r="P80" s="100">
        <f t="shared" si="20"/>
        <v>0</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1</v>
      </c>
      <c r="N104" s="126">
        <f t="shared" si="21"/>
        <v>1</v>
      </c>
      <c r="O104" s="126">
        <f t="shared" si="21"/>
        <v>1</v>
      </c>
      <c r="P104" s="126">
        <f t="shared" si="21"/>
        <v>0</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1</v>
      </c>
      <c r="N105" s="98">
        <f t="shared" si="22"/>
        <v>1</v>
      </c>
      <c r="O105" s="98">
        <f t="shared" si="22"/>
        <v>1</v>
      </c>
      <c r="P105" s="98">
        <f t="shared" si="22"/>
        <v>0</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1</v>
      </c>
      <c r="N106" s="98">
        <f t="shared" si="23"/>
        <v>1</v>
      </c>
      <c r="O106" s="98">
        <f t="shared" si="23"/>
        <v>1</v>
      </c>
      <c r="P106" s="98">
        <f t="shared" si="23"/>
        <v>0</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1</v>
      </c>
      <c r="N107" s="98">
        <f t="shared" si="24"/>
        <v>1</v>
      </c>
      <c r="O107" s="98">
        <f t="shared" si="24"/>
        <v>1</v>
      </c>
      <c r="P107" s="98">
        <f t="shared" si="24"/>
        <v>0</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1</v>
      </c>
      <c r="N108" s="98">
        <f t="shared" si="25"/>
        <v>1</v>
      </c>
      <c r="O108" s="98">
        <f t="shared" si="25"/>
        <v>1</v>
      </c>
      <c r="P108" s="98">
        <f t="shared" si="25"/>
        <v>0</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1</v>
      </c>
      <c r="N109" s="98">
        <f t="shared" si="26"/>
        <v>1</v>
      </c>
      <c r="O109" s="98">
        <f t="shared" si="26"/>
        <v>1</v>
      </c>
      <c r="P109" s="98">
        <f t="shared" si="26"/>
        <v>0</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1</v>
      </c>
      <c r="N110" s="98">
        <f t="shared" si="27"/>
        <v>1</v>
      </c>
      <c r="O110" s="98">
        <f t="shared" si="27"/>
        <v>1</v>
      </c>
      <c r="P110" s="98">
        <f t="shared" si="27"/>
        <v>0</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1</v>
      </c>
      <c r="N111" s="98">
        <f t="shared" si="28"/>
        <v>1</v>
      </c>
      <c r="O111" s="98">
        <f t="shared" si="28"/>
        <v>1</v>
      </c>
      <c r="P111" s="98">
        <f t="shared" si="28"/>
        <v>0</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-1</v>
      </c>
      <c r="N112" s="98">
        <f t="shared" si="29"/>
        <v>-1</v>
      </c>
      <c r="O112" s="98">
        <f t="shared" si="29"/>
        <v>-1</v>
      </c>
      <c r="P112" s="98">
        <f t="shared" si="29"/>
        <v>0</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-1</v>
      </c>
      <c r="N113" s="98">
        <f t="shared" si="30"/>
        <v>-1</v>
      </c>
      <c r="O113" s="98">
        <f t="shared" si="30"/>
        <v>-1</v>
      </c>
      <c r="P113" s="98">
        <f t="shared" si="30"/>
        <v>0</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-1</v>
      </c>
      <c r="N114" s="98">
        <f t="shared" si="31"/>
        <v>-1</v>
      </c>
      <c r="O114" s="98">
        <f t="shared" si="31"/>
        <v>-1</v>
      </c>
      <c r="P114" s="98">
        <f t="shared" si="31"/>
        <v>0</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-1</v>
      </c>
      <c r="N115" s="98">
        <f t="shared" si="32"/>
        <v>-1</v>
      </c>
      <c r="O115" s="98">
        <f t="shared" si="32"/>
        <v>-1</v>
      </c>
      <c r="P115" s="98">
        <f t="shared" si="32"/>
        <v>0</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-1</v>
      </c>
      <c r="N116" s="98">
        <f t="shared" si="33"/>
        <v>-1</v>
      </c>
      <c r="O116" s="98">
        <f t="shared" si="33"/>
        <v>-1</v>
      </c>
      <c r="P116" s="98">
        <f t="shared" si="33"/>
        <v>0</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-1</v>
      </c>
      <c r="N117" s="98">
        <f t="shared" si="34"/>
        <v>-1</v>
      </c>
      <c r="O117" s="98">
        <f t="shared" si="34"/>
        <v>-1</v>
      </c>
      <c r="P117" s="98">
        <f t="shared" si="34"/>
        <v>0</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-1</v>
      </c>
      <c r="N118" s="98">
        <f t="shared" si="35"/>
        <v>-1</v>
      </c>
      <c r="O118" s="98">
        <f t="shared" si="35"/>
        <v>-1</v>
      </c>
      <c r="P118" s="98">
        <f t="shared" si="35"/>
        <v>0</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-1</v>
      </c>
      <c r="N119" s="100">
        <f t="shared" si="36"/>
        <v>-1</v>
      </c>
      <c r="O119" s="100">
        <f t="shared" si="36"/>
        <v>-1</v>
      </c>
      <c r="P119" s="100">
        <f t="shared" si="36"/>
        <v>0</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1.0609999999999999</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1.0609999999999999</v>
      </c>
      <c r="T126" s="83"/>
      <c r="U126" s="83"/>
      <c r="W126" s="3"/>
    </row>
    <row r="127" spans="3:23" x14ac:dyDescent="0.3">
      <c r="F127" t="s">
        <v>831</v>
      </c>
      <c r="G127" s="72" t="s">
        <v>283</v>
      </c>
      <c r="H127" s="98">
        <f t="shared" si="37"/>
        <v>1.0609999999999999</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1.0609999999999999</v>
      </c>
      <c r="T127" s="79"/>
      <c r="U127" s="79"/>
      <c r="W127" s="3"/>
    </row>
    <row r="128" spans="3:23" x14ac:dyDescent="0.3">
      <c r="F128" t="s">
        <v>830</v>
      </c>
      <c r="G128" s="72" t="s">
        <v>283</v>
      </c>
      <c r="H128" s="98">
        <f t="shared" si="37"/>
        <v>1.0609999999999999</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1.0609999999999999</v>
      </c>
      <c r="T128" s="79"/>
      <c r="U128" s="79"/>
      <c r="W128" s="3"/>
    </row>
    <row r="129" spans="5:23" x14ac:dyDescent="0.3">
      <c r="F129" t="s">
        <v>832</v>
      </c>
      <c r="G129" s="72" t="s">
        <v>283</v>
      </c>
      <c r="H129" s="98">
        <f t="shared" si="37"/>
        <v>1.0609999999999999</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1.0609999999999999</v>
      </c>
      <c r="T129" s="79"/>
      <c r="U129" s="79"/>
    </row>
    <row r="130" spans="5:23" x14ac:dyDescent="0.3">
      <c r="F130" t="s">
        <v>838</v>
      </c>
      <c r="G130" s="72" t="s">
        <v>283</v>
      </c>
      <c r="H130" s="98">
        <f t="shared" si="37"/>
        <v>1.0609999999999999</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1.0609999999999999</v>
      </c>
      <c r="T130" s="79"/>
      <c r="U130" s="79"/>
    </row>
    <row r="131" spans="5:23" x14ac:dyDescent="0.3">
      <c r="F131" t="s">
        <v>839</v>
      </c>
      <c r="G131" s="72" t="s">
        <v>283</v>
      </c>
      <c r="H131" s="98">
        <f t="shared" si="37"/>
        <v>1.046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v>
      </c>
      <c r="S131" s="98">
        <f>OR(SUM(S70:$S70) = 1, SUM(S70:$S70) = -1) * S$29</f>
        <v>0</v>
      </c>
      <c r="T131" s="79"/>
      <c r="U131" s="79"/>
    </row>
    <row r="132" spans="5:23" x14ac:dyDescent="0.3">
      <c r="F132" t="s">
        <v>840</v>
      </c>
      <c r="G132" s="72" t="s">
        <v>283</v>
      </c>
      <c r="H132" s="98">
        <f t="shared" si="37"/>
        <v>1.0329999999999999</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1.016</v>
      </c>
      <c r="Q132" s="98">
        <f>OR(SUM(Q71:$S71) = 1, SUM(Q71:$S71) = -1) * Q$29</f>
        <v>1.0329999999999999</v>
      </c>
      <c r="R132" s="98">
        <f>OR(SUM(R71:$S71) = 1, SUM(R71:$S71) = -1) * R$29</f>
        <v>0</v>
      </c>
      <c r="S132" s="98">
        <f>OR(SUM(S71:$S71) = 1, SUM(S71:$S71) = -1) * S$29</f>
        <v>0</v>
      </c>
      <c r="T132" s="79"/>
      <c r="U132" s="79"/>
    </row>
    <row r="133" spans="5:23" x14ac:dyDescent="0.3">
      <c r="F133" t="s">
        <v>841</v>
      </c>
      <c r="G133" s="72" t="s">
        <v>283</v>
      </c>
      <c r="H133" s="98">
        <f t="shared" si="37"/>
        <v>1.0609999999999999</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1.0609999999999999</v>
      </c>
      <c r="T133" s="79"/>
      <c r="U133" s="79"/>
    </row>
    <row r="134" spans="5:23" x14ac:dyDescent="0.3">
      <c r="F134" t="s">
        <v>833</v>
      </c>
      <c r="G134" s="72" t="s">
        <v>283</v>
      </c>
      <c r="H134" s="98">
        <f t="shared" si="37"/>
        <v>1.0609999999999999</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1.0609999999999999</v>
      </c>
      <c r="T134" s="79"/>
      <c r="U134" s="79"/>
    </row>
    <row r="135" spans="5:23" x14ac:dyDescent="0.3">
      <c r="F135" t="s">
        <v>834</v>
      </c>
      <c r="G135" s="72" t="s">
        <v>283</v>
      </c>
      <c r="H135" s="98">
        <f t="shared" si="37"/>
        <v>1.046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v>
      </c>
      <c r="S135" s="98">
        <f>OR(SUM(S74:$S74) = 1, SUM(S74:$S74) = -1) * S$29</f>
        <v>0</v>
      </c>
      <c r="T135" s="79"/>
      <c r="U135" s="79"/>
    </row>
    <row r="136" spans="5:23" x14ac:dyDescent="0.3">
      <c r="F136" t="s">
        <v>835</v>
      </c>
      <c r="G136" s="72" t="s">
        <v>283</v>
      </c>
      <c r="H136" s="98">
        <f t="shared" si="37"/>
        <v>1.0609999999999999</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1.0609999999999999</v>
      </c>
      <c r="T136" s="79"/>
      <c r="U136" s="79"/>
    </row>
    <row r="137" spans="5:23" x14ac:dyDescent="0.3">
      <c r="F137" t="s">
        <v>844</v>
      </c>
      <c r="G137" s="72" t="s">
        <v>283</v>
      </c>
      <c r="H137" s="98">
        <f t="shared" si="37"/>
        <v>1.0609999999999999</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1.0609999999999999</v>
      </c>
      <c r="T137" s="79"/>
      <c r="U137" s="79"/>
    </row>
    <row r="138" spans="5:23" x14ac:dyDescent="0.3">
      <c r="F138" t="s">
        <v>836</v>
      </c>
      <c r="G138" s="72" t="s">
        <v>283</v>
      </c>
      <c r="H138" s="98">
        <f t="shared" si="37"/>
        <v>1.046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v>
      </c>
      <c r="S138" s="98">
        <f>OR(SUM(S77:$S77) = 1, SUM(S77:$S77) = -1) * S$29</f>
        <v>0</v>
      </c>
      <c r="T138" s="79"/>
      <c r="U138" s="79"/>
    </row>
    <row r="139" spans="5:23" x14ac:dyDescent="0.3">
      <c r="F139" t="s">
        <v>843</v>
      </c>
      <c r="G139" s="72" t="s">
        <v>283</v>
      </c>
      <c r="H139" s="98">
        <f t="shared" si="37"/>
        <v>1.046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v>
      </c>
      <c r="S139" s="98">
        <f>OR(SUM(S78:$S78) = 1, SUM(S78:$S78) = -1) * S$29</f>
        <v>0</v>
      </c>
      <c r="T139" s="79"/>
      <c r="U139" s="79"/>
    </row>
    <row r="140" spans="5:23" x14ac:dyDescent="0.3">
      <c r="F140" t="s">
        <v>837</v>
      </c>
      <c r="G140" s="72" t="s">
        <v>283</v>
      </c>
      <c r="H140" s="98">
        <f t="shared" si="37"/>
        <v>1.0329999999999999</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1.016</v>
      </c>
      <c r="Q140" s="98">
        <f>OR(SUM(Q79:$S79) = 1, SUM(Q79:$S79) = -1) * Q$29</f>
        <v>1.0329999999999999</v>
      </c>
      <c r="R140" s="98">
        <f>OR(SUM(R79:$S79) = 1, SUM(R79:$S79) = -1) * R$29</f>
        <v>0</v>
      </c>
      <c r="S140" s="98">
        <f>OR(SUM(S79:$S79) = 1, SUM(S79:$S79) = -1) * S$29</f>
        <v>0</v>
      </c>
      <c r="T140" s="79"/>
      <c r="U140" s="79"/>
    </row>
    <row r="141" spans="5:23" x14ac:dyDescent="0.3">
      <c r="F141" s="37" t="s">
        <v>842</v>
      </c>
      <c r="G141" s="80" t="s">
        <v>283</v>
      </c>
      <c r="H141" s="100">
        <f t="shared" si="37"/>
        <v>1.0329999999999999</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1.016</v>
      </c>
      <c r="Q141" s="100">
        <f>OR(SUM(Q80:$S80) = 1, SUM(Q80:$S80) = -1) * Q$29</f>
        <v>1.0329999999999999</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1.0609999999999999</v>
      </c>
      <c r="K145" s="101">
        <f t="shared" si="38"/>
        <v>1.0609999999999999</v>
      </c>
      <c r="L145" s="101">
        <f t="shared" si="38"/>
        <v>1.0609999999999999</v>
      </c>
      <c r="M145" s="101">
        <f t="shared" si="38"/>
        <v>1.0609999999999999</v>
      </c>
      <c r="N145" s="101">
        <f t="shared" si="38"/>
        <v>1.0609999999999999</v>
      </c>
      <c r="O145" s="101">
        <f t="shared" si="38"/>
        <v>1.0609999999999999</v>
      </c>
      <c r="P145" s="101">
        <f t="shared" si="38"/>
        <v>0</v>
      </c>
      <c r="Q145" s="101">
        <f t="shared" si="38"/>
        <v>1.0609999999999999</v>
      </c>
      <c r="R145" s="101">
        <f t="shared" si="38"/>
        <v>1.0609999999999999</v>
      </c>
      <c r="S145" s="101">
        <f t="shared" si="38"/>
        <v>1.0609999999999999</v>
      </c>
      <c r="T145" s="83"/>
      <c r="U145" s="83"/>
    </row>
    <row r="146" spans="6:23" x14ac:dyDescent="0.3">
      <c r="F146" t="s">
        <v>831</v>
      </c>
      <c r="G146" s="72" t="s">
        <v>283</v>
      </c>
      <c r="H146" s="63"/>
      <c r="J146" s="121">
        <f t="shared" ref="J146:S146" si="39">$H127 * J105</f>
        <v>1.0609999999999999</v>
      </c>
      <c r="K146" s="121">
        <f t="shared" si="39"/>
        <v>1.0609999999999999</v>
      </c>
      <c r="L146" s="121">
        <f t="shared" si="39"/>
        <v>1.0609999999999999</v>
      </c>
      <c r="M146" s="121">
        <f t="shared" si="39"/>
        <v>1.0609999999999999</v>
      </c>
      <c r="N146" s="121">
        <f t="shared" si="39"/>
        <v>1.0609999999999999</v>
      </c>
      <c r="O146" s="121">
        <f t="shared" si="39"/>
        <v>1.0609999999999999</v>
      </c>
      <c r="P146" s="121">
        <f t="shared" si="39"/>
        <v>0</v>
      </c>
      <c r="Q146" s="121">
        <f t="shared" si="39"/>
        <v>1.0609999999999999</v>
      </c>
      <c r="R146" s="121">
        <f t="shared" si="39"/>
        <v>1.0609999999999999</v>
      </c>
      <c r="S146" s="121">
        <f t="shared" si="39"/>
        <v>1.0609999999999999</v>
      </c>
      <c r="T146" s="79"/>
      <c r="U146" s="79"/>
      <c r="W146" s="3"/>
    </row>
    <row r="147" spans="6:23" x14ac:dyDescent="0.3">
      <c r="F147" t="s">
        <v>830</v>
      </c>
      <c r="G147" s="72" t="s">
        <v>283</v>
      </c>
      <c r="H147" s="63"/>
      <c r="J147" s="121">
        <f t="shared" ref="J147:S147" si="40">$H128 * J106</f>
        <v>1.0609999999999999</v>
      </c>
      <c r="K147" s="121">
        <f t="shared" si="40"/>
        <v>1.0609999999999999</v>
      </c>
      <c r="L147" s="121">
        <f t="shared" si="40"/>
        <v>1.0609999999999999</v>
      </c>
      <c r="M147" s="121">
        <f t="shared" si="40"/>
        <v>1.0609999999999999</v>
      </c>
      <c r="N147" s="121">
        <f t="shared" si="40"/>
        <v>1.0609999999999999</v>
      </c>
      <c r="O147" s="121">
        <f t="shared" si="40"/>
        <v>1.0609999999999999</v>
      </c>
      <c r="P147" s="121">
        <f t="shared" si="40"/>
        <v>0</v>
      </c>
      <c r="Q147" s="121">
        <f t="shared" si="40"/>
        <v>1.0609999999999999</v>
      </c>
      <c r="R147" s="121">
        <f t="shared" si="40"/>
        <v>1.0609999999999999</v>
      </c>
      <c r="S147" s="121">
        <f t="shared" si="40"/>
        <v>1.0609999999999999</v>
      </c>
      <c r="T147" s="79"/>
      <c r="U147" s="79"/>
      <c r="W147" s="3"/>
    </row>
    <row r="148" spans="6:23" x14ac:dyDescent="0.3">
      <c r="F148" t="s">
        <v>832</v>
      </c>
      <c r="G148" s="72" t="s">
        <v>283</v>
      </c>
      <c r="H148" s="63"/>
      <c r="J148" s="121">
        <f t="shared" ref="J148:S148" si="41">$H129 * J107</f>
        <v>1.0609999999999999</v>
      </c>
      <c r="K148" s="121">
        <f t="shared" si="41"/>
        <v>1.0609999999999999</v>
      </c>
      <c r="L148" s="121">
        <f t="shared" si="41"/>
        <v>1.0609999999999999</v>
      </c>
      <c r="M148" s="121">
        <f t="shared" si="41"/>
        <v>1.0609999999999999</v>
      </c>
      <c r="N148" s="121">
        <f t="shared" si="41"/>
        <v>1.0609999999999999</v>
      </c>
      <c r="O148" s="121">
        <f t="shared" si="41"/>
        <v>1.0609999999999999</v>
      </c>
      <c r="P148" s="121">
        <f t="shared" si="41"/>
        <v>0</v>
      </c>
      <c r="Q148" s="121">
        <f t="shared" si="41"/>
        <v>1.0609999999999999</v>
      </c>
      <c r="R148" s="121">
        <f t="shared" si="41"/>
        <v>1.0609999999999999</v>
      </c>
      <c r="S148" s="121">
        <f t="shared" si="41"/>
        <v>1.0609999999999999</v>
      </c>
      <c r="T148" s="79"/>
      <c r="U148" s="79"/>
    </row>
    <row r="149" spans="6:23" x14ac:dyDescent="0.3">
      <c r="F149" t="s">
        <v>838</v>
      </c>
      <c r="G149" s="72" t="s">
        <v>283</v>
      </c>
      <c r="H149" s="63"/>
      <c r="J149" s="121">
        <f t="shared" ref="J149:S149" si="42">$H130 * J108</f>
        <v>1.0609999999999999</v>
      </c>
      <c r="K149" s="121">
        <f t="shared" si="42"/>
        <v>1.0609999999999999</v>
      </c>
      <c r="L149" s="121">
        <f t="shared" si="42"/>
        <v>1.0609999999999999</v>
      </c>
      <c r="M149" s="121">
        <f t="shared" si="42"/>
        <v>1.0609999999999999</v>
      </c>
      <c r="N149" s="121">
        <f t="shared" si="42"/>
        <v>1.0609999999999999</v>
      </c>
      <c r="O149" s="121">
        <f t="shared" si="42"/>
        <v>1.0609999999999999</v>
      </c>
      <c r="P149" s="121">
        <f t="shared" si="42"/>
        <v>0</v>
      </c>
      <c r="Q149" s="121">
        <f t="shared" si="42"/>
        <v>1.0609999999999999</v>
      </c>
      <c r="R149" s="121">
        <f t="shared" si="42"/>
        <v>1.0609999999999999</v>
      </c>
      <c r="S149" s="121">
        <f t="shared" si="42"/>
        <v>1.0609999999999999</v>
      </c>
      <c r="T149" s="79"/>
      <c r="U149" s="79"/>
    </row>
    <row r="150" spans="6:23" x14ac:dyDescent="0.3">
      <c r="F150" t="s">
        <v>839</v>
      </c>
      <c r="G150" s="72" t="s">
        <v>283</v>
      </c>
      <c r="H150" s="63"/>
      <c r="J150" s="121">
        <f t="shared" ref="J150:S150" si="43">$H131 * J109</f>
        <v>1.046</v>
      </c>
      <c r="K150" s="121">
        <f t="shared" si="43"/>
        <v>1.046</v>
      </c>
      <c r="L150" s="121">
        <f t="shared" si="43"/>
        <v>1.046</v>
      </c>
      <c r="M150" s="121">
        <f t="shared" si="43"/>
        <v>1.046</v>
      </c>
      <c r="N150" s="121">
        <f t="shared" si="43"/>
        <v>1.046</v>
      </c>
      <c r="O150" s="121">
        <f t="shared" si="43"/>
        <v>1.046</v>
      </c>
      <c r="P150" s="121">
        <f t="shared" si="43"/>
        <v>0</v>
      </c>
      <c r="Q150" s="121">
        <f t="shared" si="43"/>
        <v>1.046</v>
      </c>
      <c r="R150" s="121">
        <f t="shared" si="43"/>
        <v>1.046</v>
      </c>
      <c r="S150" s="121">
        <f t="shared" si="43"/>
        <v>0</v>
      </c>
      <c r="T150" s="79"/>
      <c r="U150" s="79"/>
    </row>
    <row r="151" spans="6:23" x14ac:dyDescent="0.3">
      <c r="F151" t="s">
        <v>840</v>
      </c>
      <c r="G151" s="72" t="s">
        <v>283</v>
      </c>
      <c r="H151" s="63"/>
      <c r="J151" s="121">
        <f t="shared" ref="J151:S151" si="44">$H132 * J110</f>
        <v>1.0329999999999999</v>
      </c>
      <c r="K151" s="121">
        <f t="shared" si="44"/>
        <v>1.0329999999999999</v>
      </c>
      <c r="L151" s="121">
        <f t="shared" si="44"/>
        <v>1.0329999999999999</v>
      </c>
      <c r="M151" s="121">
        <f t="shared" si="44"/>
        <v>1.0329999999999999</v>
      </c>
      <c r="N151" s="121">
        <f t="shared" si="44"/>
        <v>1.0329999999999999</v>
      </c>
      <c r="O151" s="121">
        <f t="shared" si="44"/>
        <v>1.0329999999999999</v>
      </c>
      <c r="P151" s="121">
        <f t="shared" si="44"/>
        <v>0</v>
      </c>
      <c r="Q151" s="121">
        <f t="shared" si="44"/>
        <v>1.0329999999999999</v>
      </c>
      <c r="R151" s="121">
        <f t="shared" si="44"/>
        <v>0</v>
      </c>
      <c r="S151" s="121">
        <f t="shared" si="44"/>
        <v>0</v>
      </c>
      <c r="T151" s="79"/>
      <c r="U151" s="79"/>
    </row>
    <row r="152" spans="6:23" x14ac:dyDescent="0.3">
      <c r="F152" t="s">
        <v>841</v>
      </c>
      <c r="G152" s="72" t="s">
        <v>283</v>
      </c>
      <c r="H152" s="63"/>
      <c r="J152" s="121">
        <f t="shared" ref="J152:S152" si="45">$H133 * J111</f>
        <v>1.0609999999999999</v>
      </c>
      <c r="K152" s="121">
        <f t="shared" si="45"/>
        <v>1.0609999999999999</v>
      </c>
      <c r="L152" s="121">
        <f t="shared" si="45"/>
        <v>1.0609999999999999</v>
      </c>
      <c r="M152" s="121">
        <f t="shared" si="45"/>
        <v>1.0609999999999999</v>
      </c>
      <c r="N152" s="121">
        <f t="shared" si="45"/>
        <v>1.0609999999999999</v>
      </c>
      <c r="O152" s="121">
        <f t="shared" si="45"/>
        <v>1.0609999999999999</v>
      </c>
      <c r="P152" s="121">
        <f t="shared" si="45"/>
        <v>0</v>
      </c>
      <c r="Q152" s="121">
        <f t="shared" si="45"/>
        <v>1.0609999999999999</v>
      </c>
      <c r="R152" s="121">
        <f t="shared" si="45"/>
        <v>1.0609999999999999</v>
      </c>
      <c r="S152" s="121">
        <f t="shared" si="45"/>
        <v>1.0609999999999999</v>
      </c>
      <c r="T152" s="79"/>
      <c r="U152" s="79"/>
    </row>
    <row r="153" spans="6:23" x14ac:dyDescent="0.3">
      <c r="F153" t="s">
        <v>833</v>
      </c>
      <c r="G153" s="72" t="s">
        <v>283</v>
      </c>
      <c r="H153" s="63"/>
      <c r="J153" s="121">
        <f t="shared" ref="J153:S153" si="46">$H134 * J112</f>
        <v>-1.0609999999999999</v>
      </c>
      <c r="K153" s="121">
        <f t="shared" si="46"/>
        <v>-1.0609999999999999</v>
      </c>
      <c r="L153" s="121">
        <f t="shared" si="46"/>
        <v>-1.0609999999999999</v>
      </c>
      <c r="M153" s="121">
        <f t="shared" si="46"/>
        <v>-1.0609999999999999</v>
      </c>
      <c r="N153" s="121">
        <f t="shared" si="46"/>
        <v>-1.0609999999999999</v>
      </c>
      <c r="O153" s="121">
        <f t="shared" si="46"/>
        <v>-1.0609999999999999</v>
      </c>
      <c r="P153" s="121">
        <f t="shared" si="46"/>
        <v>0</v>
      </c>
      <c r="Q153" s="121">
        <f t="shared" si="46"/>
        <v>-1.0609999999999999</v>
      </c>
      <c r="R153" s="121">
        <f t="shared" si="46"/>
        <v>-1.0609999999999999</v>
      </c>
      <c r="S153" s="121">
        <f t="shared" si="46"/>
        <v>0</v>
      </c>
      <c r="T153" s="79"/>
      <c r="U153" s="79"/>
    </row>
    <row r="154" spans="6:23" x14ac:dyDescent="0.3">
      <c r="F154" t="s">
        <v>834</v>
      </c>
      <c r="G154" s="72" t="s">
        <v>283</v>
      </c>
      <c r="H154" s="63"/>
      <c r="J154" s="121">
        <f t="shared" ref="J154:S154" si="47">$H135 * J113</f>
        <v>-1.046</v>
      </c>
      <c r="K154" s="121">
        <f t="shared" si="47"/>
        <v>-1.046</v>
      </c>
      <c r="L154" s="121">
        <f t="shared" si="47"/>
        <v>-1.046</v>
      </c>
      <c r="M154" s="121">
        <f t="shared" si="47"/>
        <v>-1.046</v>
      </c>
      <c r="N154" s="121">
        <f t="shared" si="47"/>
        <v>-1.046</v>
      </c>
      <c r="O154" s="121">
        <f t="shared" si="47"/>
        <v>-1.046</v>
      </c>
      <c r="P154" s="121">
        <f t="shared" si="47"/>
        <v>0</v>
      </c>
      <c r="Q154" s="121">
        <f t="shared" si="47"/>
        <v>-1.046</v>
      </c>
      <c r="R154" s="121">
        <f t="shared" si="47"/>
        <v>0</v>
      </c>
      <c r="S154" s="121">
        <f t="shared" si="47"/>
        <v>0</v>
      </c>
      <c r="T154" s="79"/>
      <c r="U154" s="79"/>
    </row>
    <row r="155" spans="6:23" x14ac:dyDescent="0.3">
      <c r="F155" t="s">
        <v>835</v>
      </c>
      <c r="G155" s="72" t="s">
        <v>283</v>
      </c>
      <c r="H155" s="63"/>
      <c r="J155" s="121">
        <f t="shared" ref="J155:S155" si="48">$H136 * J114</f>
        <v>-1.0609999999999999</v>
      </c>
      <c r="K155" s="121">
        <f t="shared" si="48"/>
        <v>-1.0609999999999999</v>
      </c>
      <c r="L155" s="121">
        <f t="shared" si="48"/>
        <v>-1.0609999999999999</v>
      </c>
      <c r="M155" s="121">
        <f t="shared" si="48"/>
        <v>-1.0609999999999999</v>
      </c>
      <c r="N155" s="121">
        <f t="shared" si="48"/>
        <v>-1.0609999999999999</v>
      </c>
      <c r="O155" s="121">
        <f t="shared" si="48"/>
        <v>-1.0609999999999999</v>
      </c>
      <c r="P155" s="121">
        <f t="shared" si="48"/>
        <v>0</v>
      </c>
      <c r="Q155" s="121">
        <f t="shared" si="48"/>
        <v>-1.0609999999999999</v>
      </c>
      <c r="R155" s="121">
        <f t="shared" si="48"/>
        <v>-1.0609999999999999</v>
      </c>
      <c r="S155" s="121">
        <f t="shared" si="48"/>
        <v>0</v>
      </c>
      <c r="T155" s="79"/>
      <c r="U155" s="79"/>
    </row>
    <row r="156" spans="6:23" x14ac:dyDescent="0.3">
      <c r="F156" t="s">
        <v>844</v>
      </c>
      <c r="G156" s="72" t="s">
        <v>283</v>
      </c>
      <c r="H156" s="63"/>
      <c r="J156" s="121">
        <f t="shared" ref="J156:S156" si="49">$H137 * J115</f>
        <v>-1.0609999999999999</v>
      </c>
      <c r="K156" s="121">
        <f t="shared" si="49"/>
        <v>-1.0609999999999999</v>
      </c>
      <c r="L156" s="121">
        <f t="shared" si="49"/>
        <v>-1.0609999999999999</v>
      </c>
      <c r="M156" s="121">
        <f t="shared" si="49"/>
        <v>-1.0609999999999999</v>
      </c>
      <c r="N156" s="121">
        <f t="shared" si="49"/>
        <v>-1.0609999999999999</v>
      </c>
      <c r="O156" s="121">
        <f t="shared" si="49"/>
        <v>-1.0609999999999999</v>
      </c>
      <c r="P156" s="121">
        <f t="shared" si="49"/>
        <v>0</v>
      </c>
      <c r="Q156" s="121">
        <f t="shared" si="49"/>
        <v>-1.0609999999999999</v>
      </c>
      <c r="R156" s="121">
        <f t="shared" si="49"/>
        <v>-1.0609999999999999</v>
      </c>
      <c r="S156" s="121">
        <f t="shared" si="49"/>
        <v>0</v>
      </c>
      <c r="T156" s="79"/>
      <c r="U156" s="79"/>
    </row>
    <row r="157" spans="6:23" x14ac:dyDescent="0.3">
      <c r="F157" t="s">
        <v>836</v>
      </c>
      <c r="G157" s="72" t="s">
        <v>283</v>
      </c>
      <c r="H157" s="63"/>
      <c r="J157" s="121">
        <f t="shared" ref="J157:S157" si="50">$H138 * J116</f>
        <v>-1.046</v>
      </c>
      <c r="K157" s="121">
        <f t="shared" si="50"/>
        <v>-1.046</v>
      </c>
      <c r="L157" s="121">
        <f t="shared" si="50"/>
        <v>-1.046</v>
      </c>
      <c r="M157" s="121">
        <f t="shared" si="50"/>
        <v>-1.046</v>
      </c>
      <c r="N157" s="121">
        <f t="shared" si="50"/>
        <v>-1.046</v>
      </c>
      <c r="O157" s="121">
        <f t="shared" si="50"/>
        <v>-1.046</v>
      </c>
      <c r="P157" s="121">
        <f t="shared" si="50"/>
        <v>0</v>
      </c>
      <c r="Q157" s="121">
        <f t="shared" si="50"/>
        <v>-1.046</v>
      </c>
      <c r="R157" s="121">
        <f t="shared" si="50"/>
        <v>0</v>
      </c>
      <c r="S157" s="121">
        <f t="shared" si="50"/>
        <v>0</v>
      </c>
      <c r="T157" s="79"/>
      <c r="U157" s="79"/>
    </row>
    <row r="158" spans="6:23" x14ac:dyDescent="0.3">
      <c r="F158" t="s">
        <v>843</v>
      </c>
      <c r="G158" s="72" t="s">
        <v>283</v>
      </c>
      <c r="H158" s="63"/>
      <c r="J158" s="121">
        <f t="shared" ref="J158:S158" si="51">$H139 * J117</f>
        <v>-1.046</v>
      </c>
      <c r="K158" s="121">
        <f t="shared" si="51"/>
        <v>-1.046</v>
      </c>
      <c r="L158" s="121">
        <f t="shared" si="51"/>
        <v>-1.046</v>
      </c>
      <c r="M158" s="121">
        <f t="shared" si="51"/>
        <v>-1.046</v>
      </c>
      <c r="N158" s="121">
        <f t="shared" si="51"/>
        <v>-1.046</v>
      </c>
      <c r="O158" s="121">
        <f t="shared" si="51"/>
        <v>-1.046</v>
      </c>
      <c r="P158" s="121">
        <f t="shared" si="51"/>
        <v>0</v>
      </c>
      <c r="Q158" s="121">
        <f t="shared" si="51"/>
        <v>-1.046</v>
      </c>
      <c r="R158" s="121">
        <f t="shared" si="51"/>
        <v>0</v>
      </c>
      <c r="S158" s="121">
        <f t="shared" si="51"/>
        <v>0</v>
      </c>
      <c r="T158" s="79"/>
      <c r="U158" s="79"/>
    </row>
    <row r="159" spans="6:23" x14ac:dyDescent="0.3">
      <c r="F159" t="s">
        <v>837</v>
      </c>
      <c r="G159" s="72" t="s">
        <v>283</v>
      </c>
      <c r="H159" s="63"/>
      <c r="J159" s="121">
        <f t="shared" ref="J159:S159" si="52">$H140 * J118</f>
        <v>-1.0329999999999999</v>
      </c>
      <c r="K159" s="121">
        <f t="shared" si="52"/>
        <v>-1.0329999999999999</v>
      </c>
      <c r="L159" s="121">
        <f t="shared" si="52"/>
        <v>-1.0329999999999999</v>
      </c>
      <c r="M159" s="121">
        <f t="shared" si="52"/>
        <v>-1.0329999999999999</v>
      </c>
      <c r="N159" s="121">
        <f t="shared" si="52"/>
        <v>-1.0329999999999999</v>
      </c>
      <c r="O159" s="121">
        <f t="shared" si="52"/>
        <v>-1.0329999999999999</v>
      </c>
      <c r="P159" s="121">
        <f t="shared" si="52"/>
        <v>0</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-1.0329999999999999</v>
      </c>
      <c r="K160" s="131">
        <f t="shared" si="53"/>
        <v>-1.0329999999999999</v>
      </c>
      <c r="L160" s="131">
        <f t="shared" si="53"/>
        <v>-1.0329999999999999</v>
      </c>
      <c r="M160" s="131">
        <f t="shared" si="53"/>
        <v>-1.0329999999999999</v>
      </c>
      <c r="N160" s="131">
        <f t="shared" si="53"/>
        <v>-1.0329999999999999</v>
      </c>
      <c r="O160" s="131">
        <f t="shared" si="53"/>
        <v>-1.0329999999999999</v>
      </c>
      <c r="P160" s="131">
        <f t="shared" si="53"/>
        <v>0</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-1.0609999999999999</v>
      </c>
      <c r="K172" s="121">
        <f t="shared" si="54"/>
        <v>-1.0609999999999999</v>
      </c>
      <c r="L172" s="121">
        <f t="shared" si="54"/>
        <v>-1.0609999999999999</v>
      </c>
      <c r="M172" s="121">
        <f t="shared" si="54"/>
        <v>-1.0609999999999999</v>
      </c>
      <c r="N172" s="121">
        <f t="shared" si="54"/>
        <v>-1.0609999999999999</v>
      </c>
      <c r="O172" s="121">
        <f t="shared" si="54"/>
        <v>-1.0609999999999999</v>
      </c>
      <c r="P172" s="121">
        <f t="shared" si="54"/>
        <v>0</v>
      </c>
      <c r="Q172" s="121">
        <f t="shared" si="54"/>
        <v>-1.0609999999999999</v>
      </c>
      <c r="R172" s="121">
        <f t="shared" si="54"/>
        <v>-1.0609999999999999</v>
      </c>
      <c r="S172" s="121">
        <f t="shared" si="54"/>
        <v>-1.0609999999999999</v>
      </c>
      <c r="T172" s="79"/>
      <c r="U172" s="79"/>
    </row>
    <row r="173" spans="5:23" x14ac:dyDescent="0.3">
      <c r="F173" t="s">
        <v>834</v>
      </c>
      <c r="G173" s="72" t="s">
        <v>283</v>
      </c>
      <c r="H173" s="63"/>
      <c r="J173" s="121">
        <f t="shared" ref="J173:S173" si="55">$H135 * J74</f>
        <v>-1.046</v>
      </c>
      <c r="K173" s="121">
        <f t="shared" si="55"/>
        <v>-1.046</v>
      </c>
      <c r="L173" s="121">
        <f t="shared" si="55"/>
        <v>-1.046</v>
      </c>
      <c r="M173" s="121">
        <f t="shared" si="55"/>
        <v>-1.046</v>
      </c>
      <c r="N173" s="121">
        <f t="shared" si="55"/>
        <v>-1.046</v>
      </c>
      <c r="O173" s="121">
        <f t="shared" si="55"/>
        <v>-1.046</v>
      </c>
      <c r="P173" s="121">
        <f t="shared" si="55"/>
        <v>0</v>
      </c>
      <c r="Q173" s="121">
        <f t="shared" si="55"/>
        <v>-1.046</v>
      </c>
      <c r="R173" s="121">
        <f t="shared" si="55"/>
        <v>-1.046</v>
      </c>
      <c r="S173" s="121">
        <f t="shared" si="55"/>
        <v>0</v>
      </c>
      <c r="T173" s="79"/>
      <c r="U173" s="79"/>
    </row>
    <row r="174" spans="5:23" x14ac:dyDescent="0.3">
      <c r="F174" t="s">
        <v>835</v>
      </c>
      <c r="G174" s="72" t="s">
        <v>283</v>
      </c>
      <c r="H174" s="63"/>
      <c r="J174" s="121">
        <f t="shared" ref="J174:S174" si="56">$H136 * J75</f>
        <v>-1.0609999999999999</v>
      </c>
      <c r="K174" s="121">
        <f t="shared" si="56"/>
        <v>-1.0609999999999999</v>
      </c>
      <c r="L174" s="121">
        <f t="shared" si="56"/>
        <v>-1.0609999999999999</v>
      </c>
      <c r="M174" s="121">
        <f t="shared" si="56"/>
        <v>-1.0609999999999999</v>
      </c>
      <c r="N174" s="121">
        <f t="shared" si="56"/>
        <v>-1.0609999999999999</v>
      </c>
      <c r="O174" s="121">
        <f t="shared" si="56"/>
        <v>-1.0609999999999999</v>
      </c>
      <c r="P174" s="121">
        <f t="shared" si="56"/>
        <v>0</v>
      </c>
      <c r="Q174" s="121">
        <f t="shared" si="56"/>
        <v>-1.0609999999999999</v>
      </c>
      <c r="R174" s="121">
        <f t="shared" si="56"/>
        <v>-1.0609999999999999</v>
      </c>
      <c r="S174" s="121">
        <f t="shared" si="56"/>
        <v>-1.0609999999999999</v>
      </c>
      <c r="T174" s="79"/>
      <c r="U174" s="79"/>
    </row>
    <row r="175" spans="5:23" x14ac:dyDescent="0.3">
      <c r="F175" t="s">
        <v>844</v>
      </c>
      <c r="G175" s="72" t="s">
        <v>283</v>
      </c>
      <c r="H175" s="63"/>
      <c r="J175" s="121">
        <f t="shared" ref="J175:S175" si="57">$H137 * J76</f>
        <v>-1.0609999999999999</v>
      </c>
      <c r="K175" s="121">
        <f t="shared" si="57"/>
        <v>-1.0609999999999999</v>
      </c>
      <c r="L175" s="121">
        <f t="shared" si="57"/>
        <v>-1.0609999999999999</v>
      </c>
      <c r="M175" s="121">
        <f t="shared" si="57"/>
        <v>-1.0609999999999999</v>
      </c>
      <c r="N175" s="121">
        <f t="shared" si="57"/>
        <v>-1.0609999999999999</v>
      </c>
      <c r="O175" s="121">
        <f t="shared" si="57"/>
        <v>-1.0609999999999999</v>
      </c>
      <c r="P175" s="121">
        <f t="shared" si="57"/>
        <v>0</v>
      </c>
      <c r="Q175" s="121">
        <f t="shared" si="57"/>
        <v>-1.0609999999999999</v>
      </c>
      <c r="R175" s="121">
        <f t="shared" si="57"/>
        <v>-1.0609999999999999</v>
      </c>
      <c r="S175" s="121">
        <f t="shared" si="57"/>
        <v>-1.0609999999999999</v>
      </c>
      <c r="T175" s="79"/>
      <c r="U175" s="79"/>
    </row>
    <row r="176" spans="5:23" x14ac:dyDescent="0.3">
      <c r="F176" t="s">
        <v>836</v>
      </c>
      <c r="G176" s="72" t="s">
        <v>283</v>
      </c>
      <c r="H176" s="63"/>
      <c r="J176" s="121">
        <f t="shared" ref="J176:S176" si="58">$H138 * J77</f>
        <v>-1.046</v>
      </c>
      <c r="K176" s="121">
        <f t="shared" si="58"/>
        <v>-1.046</v>
      </c>
      <c r="L176" s="121">
        <f t="shared" si="58"/>
        <v>-1.046</v>
      </c>
      <c r="M176" s="121">
        <f t="shared" si="58"/>
        <v>-1.046</v>
      </c>
      <c r="N176" s="121">
        <f t="shared" si="58"/>
        <v>-1.046</v>
      </c>
      <c r="O176" s="121">
        <f t="shared" si="58"/>
        <v>-1.046</v>
      </c>
      <c r="P176" s="121">
        <f t="shared" si="58"/>
        <v>0</v>
      </c>
      <c r="Q176" s="121">
        <f t="shared" si="58"/>
        <v>-1.046</v>
      </c>
      <c r="R176" s="121">
        <f t="shared" si="58"/>
        <v>-1.046</v>
      </c>
      <c r="S176" s="121">
        <f t="shared" si="58"/>
        <v>0</v>
      </c>
      <c r="T176" s="79"/>
      <c r="U176" s="79"/>
    </row>
    <row r="177" spans="2:23" x14ac:dyDescent="0.3">
      <c r="F177" t="s">
        <v>843</v>
      </c>
      <c r="G177" s="72" t="s">
        <v>283</v>
      </c>
      <c r="H177" s="63"/>
      <c r="J177" s="121">
        <f t="shared" ref="J177:S177" si="59">$H139 * J78</f>
        <v>-1.046</v>
      </c>
      <c r="K177" s="121">
        <f t="shared" si="59"/>
        <v>-1.046</v>
      </c>
      <c r="L177" s="121">
        <f t="shared" si="59"/>
        <v>-1.046</v>
      </c>
      <c r="M177" s="121">
        <f t="shared" si="59"/>
        <v>-1.046</v>
      </c>
      <c r="N177" s="121">
        <f t="shared" si="59"/>
        <v>-1.046</v>
      </c>
      <c r="O177" s="121">
        <f t="shared" si="59"/>
        <v>-1.046</v>
      </c>
      <c r="P177" s="121">
        <f t="shared" si="59"/>
        <v>0</v>
      </c>
      <c r="Q177" s="121">
        <f t="shared" si="59"/>
        <v>-1.046</v>
      </c>
      <c r="R177" s="121">
        <f t="shared" si="59"/>
        <v>-1.046</v>
      </c>
      <c r="S177" s="121">
        <f t="shared" si="59"/>
        <v>0</v>
      </c>
      <c r="T177" s="79"/>
      <c r="U177" s="79"/>
    </row>
    <row r="178" spans="2:23" x14ac:dyDescent="0.3">
      <c r="F178" t="s">
        <v>837</v>
      </c>
      <c r="G178" s="72" t="s">
        <v>283</v>
      </c>
      <c r="H178" s="63"/>
      <c r="J178" s="121">
        <f t="shared" ref="J178:S178" si="60">$H140 * J79</f>
        <v>-1.0329999999999999</v>
      </c>
      <c r="K178" s="121">
        <f t="shared" si="60"/>
        <v>-1.0329999999999999</v>
      </c>
      <c r="L178" s="121">
        <f t="shared" si="60"/>
        <v>-1.0329999999999999</v>
      </c>
      <c r="M178" s="121">
        <f t="shared" si="60"/>
        <v>-1.0329999999999999</v>
      </c>
      <c r="N178" s="121">
        <f t="shared" si="60"/>
        <v>-1.0329999999999999</v>
      </c>
      <c r="O178" s="121">
        <f t="shared" si="60"/>
        <v>-1.0329999999999999</v>
      </c>
      <c r="P178" s="121">
        <f t="shared" si="60"/>
        <v>0</v>
      </c>
      <c r="Q178" s="121">
        <f t="shared" si="60"/>
        <v>-1.0329999999999999</v>
      </c>
      <c r="R178" s="121">
        <f t="shared" si="60"/>
        <v>0</v>
      </c>
      <c r="S178" s="121">
        <f t="shared" si="60"/>
        <v>0</v>
      </c>
      <c r="T178" s="79"/>
      <c r="U178" s="79"/>
    </row>
    <row r="179" spans="2:23" x14ac:dyDescent="0.3">
      <c r="F179" s="37" t="s">
        <v>842</v>
      </c>
      <c r="G179" s="80" t="s">
        <v>283</v>
      </c>
      <c r="H179" s="130"/>
      <c r="I179" s="37"/>
      <c r="J179" s="131">
        <f t="shared" ref="J179:S179" si="61">$H141 * J80</f>
        <v>-1.0329999999999999</v>
      </c>
      <c r="K179" s="131">
        <f t="shared" si="61"/>
        <v>-1.0329999999999999</v>
      </c>
      <c r="L179" s="131">
        <f t="shared" si="61"/>
        <v>-1.0329999999999999</v>
      </c>
      <c r="M179" s="131">
        <f t="shared" si="61"/>
        <v>-1.0329999999999999</v>
      </c>
      <c r="N179" s="131">
        <f t="shared" si="61"/>
        <v>-1.0329999999999999</v>
      </c>
      <c r="O179" s="131">
        <f t="shared" si="61"/>
        <v>-1.0329999999999999</v>
      </c>
      <c r="P179" s="131">
        <f t="shared" si="61"/>
        <v>0</v>
      </c>
      <c r="Q179" s="131">
        <f t="shared" si="61"/>
        <v>-1.0329999999999999</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0.81</v>
      </c>
      <c r="P43" s="25">
        <f>'Inputs by network level'!P26</f>
        <v>0</v>
      </c>
      <c r="Q43" s="25">
        <f>'Inputs by network level'!Q26</f>
        <v>0.81</v>
      </c>
      <c r="R43" s="25">
        <f>'Inputs by network level'!R26</f>
        <v>0.95</v>
      </c>
      <c r="S43" s="25">
        <f>'Inputs by network level'!S26</f>
        <v>0.95</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0.81</v>
      </c>
      <c r="P44" s="25">
        <f>'Inputs by network level'!P27</f>
        <v>0</v>
      </c>
      <c r="Q44" s="25">
        <f>'Inputs by network level'!Q27</f>
        <v>0.81</v>
      </c>
      <c r="R44" s="25">
        <f>'Inputs by network level'!R27</f>
        <v>0.95</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0.67</v>
      </c>
      <c r="N45" s="25">
        <f>'Inputs by network level'!N28</f>
        <v>0.67</v>
      </c>
      <c r="O45" s="25">
        <f>'Inputs by network level'!O28</f>
        <v>1</v>
      </c>
      <c r="P45" s="25">
        <f>'Inputs by network level'!P28</f>
        <v>0</v>
      </c>
      <c r="Q45" s="25">
        <f>'Inputs by network level'!Q28</f>
        <v>1</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0.67</v>
      </c>
      <c r="N46" s="141">
        <f>'Inputs by network level'!N29</f>
        <v>0.67</v>
      </c>
      <c r="O46" s="141">
        <f>'Inputs by network level'!O29</f>
        <v>1</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0.81</v>
      </c>
      <c r="P51" s="111">
        <f t="shared" si="0"/>
        <v>0</v>
      </c>
      <c r="Q51" s="111">
        <f t="shared" si="0"/>
        <v>0.81</v>
      </c>
      <c r="R51" s="111">
        <f t="shared" si="0"/>
        <v>0.95</v>
      </c>
      <c r="S51" s="111">
        <f t="shared" si="0"/>
        <v>0.95</v>
      </c>
      <c r="T51" s="70"/>
      <c r="U51" s="70"/>
    </row>
    <row r="52" spans="5:23" x14ac:dyDescent="0.3">
      <c r="F52" s="28" t="s">
        <v>831</v>
      </c>
      <c r="G52" s="28"/>
      <c r="H52" s="72" t="s">
        <v>167</v>
      </c>
      <c r="J52" s="70"/>
      <c r="K52" s="70"/>
      <c r="L52" s="111">
        <f t="shared" si="0"/>
        <v>0</v>
      </c>
      <c r="M52" s="111">
        <f t="shared" si="0"/>
        <v>0</v>
      </c>
      <c r="N52" s="111">
        <f t="shared" si="0"/>
        <v>0</v>
      </c>
      <c r="O52" s="111">
        <f t="shared" si="0"/>
        <v>0.81</v>
      </c>
      <c r="P52" s="111">
        <f t="shared" si="0"/>
        <v>0</v>
      </c>
      <c r="Q52" s="111">
        <f t="shared" si="0"/>
        <v>0.81</v>
      </c>
      <c r="R52" s="111">
        <f t="shared" si="0"/>
        <v>0.95</v>
      </c>
      <c r="S52" s="111">
        <f t="shared" si="0"/>
        <v>0.95</v>
      </c>
      <c r="T52" s="70"/>
      <c r="U52" s="70"/>
    </row>
    <row r="53" spans="5:23" x14ac:dyDescent="0.3">
      <c r="F53" s="28" t="s">
        <v>830</v>
      </c>
      <c r="G53" s="28"/>
      <c r="H53" s="72" t="s">
        <v>167</v>
      </c>
      <c r="J53" s="70"/>
      <c r="K53" s="70"/>
      <c r="L53" s="111">
        <f t="shared" si="0"/>
        <v>0</v>
      </c>
      <c r="M53" s="111">
        <f t="shared" si="0"/>
        <v>0</v>
      </c>
      <c r="N53" s="111">
        <f t="shared" si="0"/>
        <v>0</v>
      </c>
      <c r="O53" s="111">
        <f t="shared" si="0"/>
        <v>0.81</v>
      </c>
      <c r="P53" s="111">
        <f t="shared" si="0"/>
        <v>0</v>
      </c>
      <c r="Q53" s="111">
        <f t="shared" si="0"/>
        <v>0.81</v>
      </c>
      <c r="R53" s="111">
        <f t="shared" si="0"/>
        <v>0.95</v>
      </c>
      <c r="S53" s="111">
        <f t="shared" si="0"/>
        <v>0.95</v>
      </c>
      <c r="T53" s="70"/>
      <c r="U53" s="70"/>
    </row>
    <row r="54" spans="5:23" x14ac:dyDescent="0.3">
      <c r="F54" s="28" t="s">
        <v>832</v>
      </c>
      <c r="G54" s="28"/>
      <c r="H54" s="72" t="s">
        <v>167</v>
      </c>
      <c r="J54" s="70"/>
      <c r="K54" s="70"/>
      <c r="L54" s="111">
        <f t="shared" si="0"/>
        <v>0</v>
      </c>
      <c r="M54" s="111">
        <f t="shared" si="0"/>
        <v>0</v>
      </c>
      <c r="N54" s="111">
        <f t="shared" si="0"/>
        <v>0</v>
      </c>
      <c r="O54" s="111">
        <f t="shared" si="0"/>
        <v>0.81</v>
      </c>
      <c r="P54" s="111">
        <f t="shared" si="0"/>
        <v>0</v>
      </c>
      <c r="Q54" s="111">
        <f t="shared" si="0"/>
        <v>0.81</v>
      </c>
      <c r="R54" s="111">
        <f t="shared" si="0"/>
        <v>0.95</v>
      </c>
      <c r="S54" s="111">
        <f t="shared" si="0"/>
        <v>0.95</v>
      </c>
      <c r="T54" s="70"/>
      <c r="U54" s="70"/>
    </row>
    <row r="55" spans="5:23" x14ac:dyDescent="0.3">
      <c r="F55" s="28" t="s">
        <v>838</v>
      </c>
      <c r="G55" s="28"/>
      <c r="H55" s="72" t="s">
        <v>167</v>
      </c>
      <c r="J55" s="70"/>
      <c r="K55" s="70"/>
      <c r="L55" s="111">
        <f t="shared" si="0"/>
        <v>0</v>
      </c>
      <c r="M55" s="111">
        <f t="shared" si="0"/>
        <v>0</v>
      </c>
      <c r="N55" s="111">
        <f t="shared" si="0"/>
        <v>0</v>
      </c>
      <c r="O55" s="111">
        <f t="shared" si="0"/>
        <v>0.81</v>
      </c>
      <c r="P55" s="111">
        <f t="shared" si="0"/>
        <v>0</v>
      </c>
      <c r="Q55" s="111">
        <f t="shared" si="0"/>
        <v>0.81</v>
      </c>
      <c r="R55" s="111">
        <f t="shared" si="0"/>
        <v>0.95</v>
      </c>
      <c r="S55" s="111">
        <f t="shared" si="0"/>
        <v>0.95</v>
      </c>
      <c r="T55" s="70"/>
      <c r="U55" s="70"/>
    </row>
    <row r="56" spans="5:23" x14ac:dyDescent="0.3">
      <c r="F56" s="28" t="s">
        <v>839</v>
      </c>
      <c r="G56" s="28"/>
      <c r="H56" s="72" t="s">
        <v>167</v>
      </c>
      <c r="J56" s="70"/>
      <c r="K56" s="70"/>
      <c r="L56" s="111">
        <f t="shared" si="0"/>
        <v>0</v>
      </c>
      <c r="M56" s="111">
        <f t="shared" si="0"/>
        <v>0</v>
      </c>
      <c r="N56" s="111">
        <f t="shared" si="0"/>
        <v>0</v>
      </c>
      <c r="O56" s="111">
        <f t="shared" si="0"/>
        <v>0.81</v>
      </c>
      <c r="P56" s="111">
        <f t="shared" si="0"/>
        <v>0</v>
      </c>
      <c r="Q56" s="111">
        <f t="shared" si="0"/>
        <v>0.81</v>
      </c>
      <c r="R56" s="111">
        <f t="shared" si="0"/>
        <v>0.95</v>
      </c>
      <c r="S56" s="111">
        <f t="shared" si="0"/>
        <v>0</v>
      </c>
      <c r="T56" s="70"/>
      <c r="U56" s="70"/>
    </row>
    <row r="57" spans="5:23" x14ac:dyDescent="0.3">
      <c r="F57" s="28" t="s">
        <v>840</v>
      </c>
      <c r="G57" s="28"/>
      <c r="H57" s="72" t="s">
        <v>167</v>
      </c>
      <c r="J57" s="70"/>
      <c r="K57" s="70"/>
      <c r="L57" s="111">
        <f t="shared" si="0"/>
        <v>0</v>
      </c>
      <c r="M57" s="111">
        <f t="shared" si="0"/>
        <v>0.67</v>
      </c>
      <c r="N57" s="111">
        <f t="shared" si="0"/>
        <v>0.67</v>
      </c>
      <c r="O57" s="111">
        <f t="shared" si="0"/>
        <v>1</v>
      </c>
      <c r="P57" s="111">
        <f t="shared" si="0"/>
        <v>0</v>
      </c>
      <c r="Q57" s="111">
        <f t="shared" si="0"/>
        <v>1</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0.81</v>
      </c>
      <c r="P58" s="111">
        <f t="shared" si="0"/>
        <v>0</v>
      </c>
      <c r="Q58" s="111">
        <f t="shared" si="0"/>
        <v>0.81</v>
      </c>
      <c r="R58" s="111">
        <f t="shared" si="0"/>
        <v>0.95</v>
      </c>
      <c r="S58" s="111">
        <f t="shared" si="0"/>
        <v>0.95</v>
      </c>
      <c r="T58" s="70"/>
      <c r="U58" s="70"/>
    </row>
    <row r="59" spans="5:23" x14ac:dyDescent="0.3">
      <c r="F59" s="28" t="s">
        <v>833</v>
      </c>
      <c r="G59" s="28"/>
      <c r="H59" s="72" t="s">
        <v>167</v>
      </c>
      <c r="J59" s="70"/>
      <c r="K59" s="70"/>
      <c r="L59" s="111">
        <f t="shared" si="0"/>
        <v>0</v>
      </c>
      <c r="M59" s="111">
        <f t="shared" si="0"/>
        <v>0</v>
      </c>
      <c r="N59" s="111">
        <f t="shared" si="0"/>
        <v>0</v>
      </c>
      <c r="O59" s="111">
        <f t="shared" si="0"/>
        <v>0.81</v>
      </c>
      <c r="P59" s="111">
        <f t="shared" si="0"/>
        <v>0</v>
      </c>
      <c r="Q59" s="111">
        <f t="shared" si="0"/>
        <v>0.81</v>
      </c>
      <c r="R59" s="111">
        <f t="shared" si="0"/>
        <v>0.95</v>
      </c>
      <c r="S59" s="111">
        <f t="shared" si="0"/>
        <v>0.95</v>
      </c>
      <c r="T59" s="70"/>
      <c r="U59" s="70"/>
    </row>
    <row r="60" spans="5:23" x14ac:dyDescent="0.3">
      <c r="F60" s="28" t="s">
        <v>834</v>
      </c>
      <c r="G60" s="28"/>
      <c r="H60" s="72" t="s">
        <v>167</v>
      </c>
      <c r="J60" s="70"/>
      <c r="K60" s="70"/>
      <c r="L60" s="111">
        <f t="shared" si="0"/>
        <v>0</v>
      </c>
      <c r="M60" s="111">
        <f t="shared" si="0"/>
        <v>0</v>
      </c>
      <c r="N60" s="111">
        <f t="shared" si="0"/>
        <v>0</v>
      </c>
      <c r="O60" s="111">
        <f t="shared" si="0"/>
        <v>0.81</v>
      </c>
      <c r="P60" s="111">
        <f t="shared" si="0"/>
        <v>0</v>
      </c>
      <c r="Q60" s="111">
        <f t="shared" si="0"/>
        <v>0.81</v>
      </c>
      <c r="R60" s="111">
        <f t="shared" si="0"/>
        <v>0.95</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0.81</v>
      </c>
      <c r="P61" s="111">
        <f t="shared" si="1"/>
        <v>0</v>
      </c>
      <c r="Q61" s="111">
        <f t="shared" si="1"/>
        <v>0.81</v>
      </c>
      <c r="R61" s="111">
        <f t="shared" si="1"/>
        <v>0.95</v>
      </c>
      <c r="S61" s="111">
        <f t="shared" si="1"/>
        <v>0.95</v>
      </c>
      <c r="T61" s="70"/>
      <c r="U61" s="70"/>
    </row>
    <row r="62" spans="5:23" x14ac:dyDescent="0.3">
      <c r="F62" s="28" t="s">
        <v>844</v>
      </c>
      <c r="G62" s="28"/>
      <c r="H62" s="72" t="s">
        <v>167</v>
      </c>
      <c r="J62" s="70"/>
      <c r="K62" s="70"/>
      <c r="L62" s="111">
        <f t="shared" si="1"/>
        <v>0</v>
      </c>
      <c r="M62" s="111">
        <f t="shared" si="1"/>
        <v>0</v>
      </c>
      <c r="N62" s="111">
        <f t="shared" si="1"/>
        <v>0</v>
      </c>
      <c r="O62" s="111">
        <f t="shared" si="1"/>
        <v>0.81</v>
      </c>
      <c r="P62" s="111">
        <f t="shared" si="1"/>
        <v>0</v>
      </c>
      <c r="Q62" s="111">
        <f t="shared" si="1"/>
        <v>0.81</v>
      </c>
      <c r="R62" s="111">
        <f t="shared" si="1"/>
        <v>0.95</v>
      </c>
      <c r="S62" s="111">
        <f t="shared" si="1"/>
        <v>0.95</v>
      </c>
      <c r="T62" s="70"/>
      <c r="U62" s="70"/>
    </row>
    <row r="63" spans="5:23" x14ac:dyDescent="0.3">
      <c r="F63" s="28" t="s">
        <v>836</v>
      </c>
      <c r="G63" s="28"/>
      <c r="H63" s="72" t="s">
        <v>167</v>
      </c>
      <c r="J63" s="70"/>
      <c r="K63" s="70"/>
      <c r="L63" s="111">
        <f t="shared" si="1"/>
        <v>0</v>
      </c>
      <c r="M63" s="111">
        <f t="shared" si="1"/>
        <v>0</v>
      </c>
      <c r="N63" s="111">
        <f t="shared" si="1"/>
        <v>0</v>
      </c>
      <c r="O63" s="111">
        <f t="shared" si="1"/>
        <v>0.81</v>
      </c>
      <c r="P63" s="111">
        <f t="shared" si="1"/>
        <v>0</v>
      </c>
      <c r="Q63" s="111">
        <f t="shared" si="1"/>
        <v>0.81</v>
      </c>
      <c r="R63" s="111">
        <f t="shared" si="1"/>
        <v>0.95</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0.81</v>
      </c>
      <c r="P64" s="111">
        <f t="shared" si="1"/>
        <v>0</v>
      </c>
      <c r="Q64" s="111">
        <f t="shared" si="1"/>
        <v>0.81</v>
      </c>
      <c r="R64" s="111">
        <f t="shared" si="1"/>
        <v>0.95</v>
      </c>
      <c r="S64" s="111">
        <f t="shared" si="1"/>
        <v>0</v>
      </c>
      <c r="T64" s="70"/>
      <c r="U64" s="70"/>
    </row>
    <row r="65" spans="2:23" x14ac:dyDescent="0.3">
      <c r="F65" s="28" t="s">
        <v>837</v>
      </c>
      <c r="G65" s="28"/>
      <c r="H65" s="72" t="s">
        <v>167</v>
      </c>
      <c r="J65" s="70"/>
      <c r="K65" s="70"/>
      <c r="L65" s="111">
        <f t="shared" si="1"/>
        <v>0</v>
      </c>
      <c r="M65" s="111">
        <f t="shared" si="1"/>
        <v>0.67</v>
      </c>
      <c r="N65" s="111">
        <f t="shared" si="1"/>
        <v>0.67</v>
      </c>
      <c r="O65" s="111">
        <f t="shared" si="1"/>
        <v>1</v>
      </c>
      <c r="P65" s="111">
        <f t="shared" si="1"/>
        <v>0</v>
      </c>
      <c r="Q65" s="111">
        <f t="shared" si="1"/>
        <v>1</v>
      </c>
      <c r="R65" s="111">
        <f t="shared" si="1"/>
        <v>0</v>
      </c>
      <c r="S65" s="111">
        <f t="shared" si="1"/>
        <v>0</v>
      </c>
      <c r="T65" s="70"/>
      <c r="U65" s="70"/>
    </row>
    <row r="66" spans="2:23" x14ac:dyDescent="0.3">
      <c r="F66" s="67" t="s">
        <v>842</v>
      </c>
      <c r="G66" s="67"/>
      <c r="H66" s="80" t="s">
        <v>167</v>
      </c>
      <c r="I66" s="37"/>
      <c r="J66" s="71"/>
      <c r="K66" s="71"/>
      <c r="L66" s="143">
        <f t="shared" si="1"/>
        <v>0</v>
      </c>
      <c r="M66" s="143">
        <f t="shared" si="1"/>
        <v>0.67</v>
      </c>
      <c r="N66" s="143">
        <f t="shared" si="1"/>
        <v>0.67</v>
      </c>
      <c r="O66" s="143">
        <f t="shared" si="1"/>
        <v>1</v>
      </c>
      <c r="P66" s="143">
        <f t="shared" si="1"/>
        <v>0</v>
      </c>
      <c r="Q66" s="143">
        <f t="shared" si="1"/>
        <v>1</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0.38089985064832788</v>
      </c>
      <c r="AQ22" s="3"/>
    </row>
    <row r="23" spans="4:43" x14ac:dyDescent="0.3">
      <c r="F23" t="s">
        <v>177</v>
      </c>
      <c r="G23" t="s">
        <v>167</v>
      </c>
      <c r="H23" s="25">
        <f>'General inputs'!H31</f>
        <v>0.57501376699133966</v>
      </c>
      <c r="AQ23" s="3"/>
    </row>
    <row r="24" spans="4:43" x14ac:dyDescent="0.3">
      <c r="F24" t="s">
        <v>178</v>
      </c>
      <c r="G24" t="s">
        <v>167</v>
      </c>
      <c r="H24" s="25">
        <f>'General inputs'!H32</f>
        <v>0.30026377203686194</v>
      </c>
      <c r="AQ24" s="3"/>
    </row>
    <row r="25" spans="4:43" x14ac:dyDescent="0.3">
      <c r="F25" s="37" t="s">
        <v>179</v>
      </c>
      <c r="G25" s="37" t="s">
        <v>167</v>
      </c>
      <c r="H25" s="141">
        <f>'General inputs'!H33</f>
        <v>0.17052516507035737</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0.38089985064832788</v>
      </c>
      <c r="K34" s="145">
        <f t="shared" si="0"/>
        <v>0.38089985064832788</v>
      </c>
      <c r="L34" s="145">
        <f t="shared" si="0"/>
        <v>0.38089985064832788</v>
      </c>
      <c r="M34" s="145">
        <f t="shared" si="0"/>
        <v>0.38089985064832788</v>
      </c>
      <c r="N34" s="145">
        <f t="shared" si="0"/>
        <v>0.38089985064832788</v>
      </c>
      <c r="O34" s="145">
        <f t="shared" si="0"/>
        <v>0</v>
      </c>
      <c r="P34" s="145">
        <f t="shared" si="0"/>
        <v>0</v>
      </c>
      <c r="Q34" s="145">
        <f t="shared" si="0"/>
        <v>0.38089985064832788</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0.57501376699133966</v>
      </c>
      <c r="K35" s="145">
        <f t="shared" si="1"/>
        <v>0.57501376699133966</v>
      </c>
      <c r="L35" s="145">
        <f t="shared" si="1"/>
        <v>0.57501376699133966</v>
      </c>
      <c r="M35" s="145">
        <f t="shared" si="1"/>
        <v>0.57501376699133966</v>
      </c>
      <c r="N35" s="145">
        <f t="shared" si="1"/>
        <v>0.57501376699133966</v>
      </c>
      <c r="O35" s="145">
        <f t="shared" si="1"/>
        <v>0.30026377203686194</v>
      </c>
      <c r="P35" s="145">
        <f t="shared" si="1"/>
        <v>0.17052516507035737</v>
      </c>
      <c r="Q35" s="145">
        <f t="shared" si="1"/>
        <v>0.57501376699133966</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165.19190239670218</v>
      </c>
      <c r="L58" s="124">
        <f>'Inputs by customer type'!L23</f>
        <v>0</v>
      </c>
      <c r="M58" s="124">
        <f>'Inputs by customer type'!M23</f>
        <v>156.53988635874572</v>
      </c>
      <c r="N58" s="124">
        <f>'Inputs by customer type'!N23</f>
        <v>0</v>
      </c>
      <c r="O58" s="124">
        <f>'Inputs by customer type'!O23</f>
        <v>0</v>
      </c>
      <c r="P58" s="124">
        <f>'Inputs by customer type'!P23</f>
        <v>0</v>
      </c>
      <c r="Q58" s="83"/>
      <c r="R58" s="124">
        <f>'Inputs by customer type'!R23</f>
        <v>208.43531675970064</v>
      </c>
      <c r="S58" s="124">
        <f>'Inputs by customer type'!S23</f>
        <v>0</v>
      </c>
      <c r="T58" s="124">
        <f>'Inputs by customer type'!T23</f>
        <v>3867.6374675826655</v>
      </c>
      <c r="U58" s="124">
        <f>'Inputs by customer type'!U23</f>
        <v>0</v>
      </c>
      <c r="V58" s="124">
        <f>'Inputs by customer type'!V23</f>
        <v>1009.8765349498661</v>
      </c>
      <c r="W58" s="124">
        <f>'Inputs by customer type'!W23</f>
        <v>0</v>
      </c>
      <c r="X58" s="124">
        <f>'Inputs by customer type'!X23</f>
        <v>33792.907334020259</v>
      </c>
      <c r="Y58" s="124">
        <f>'Inputs by customer type'!Y23</f>
        <v>0</v>
      </c>
      <c r="AQ58" s="3"/>
    </row>
    <row r="59" spans="2:43" x14ac:dyDescent="0.3">
      <c r="E59" s="32"/>
      <c r="F59" s="72" t="s">
        <v>248</v>
      </c>
      <c r="G59" s="72" t="s">
        <v>207</v>
      </c>
      <c r="J59" s="331"/>
      <c r="K59" s="333">
        <f>'Inputs by customer type'!K24</f>
        <v>8808.4021048564955</v>
      </c>
      <c r="L59" s="333">
        <f>'Inputs by customer type'!L24</f>
        <v>0</v>
      </c>
      <c r="M59" s="333">
        <f>'Inputs by customer type'!M24</f>
        <v>5298.9984308607791</v>
      </c>
      <c r="N59" s="333">
        <f>'Inputs by customer type'!N24</f>
        <v>0</v>
      </c>
      <c r="O59" s="333">
        <f>'Inputs by customer type'!O24</f>
        <v>0</v>
      </c>
      <c r="P59" s="333">
        <f>'Inputs by customer type'!P24</f>
        <v>0</v>
      </c>
      <c r="Q59" s="331"/>
      <c r="R59" s="333">
        <f>'Inputs by customer type'!R24</f>
        <v>2120.0971136074354</v>
      </c>
      <c r="S59" s="333">
        <f>'Inputs by customer type'!S24</f>
        <v>0</v>
      </c>
      <c r="T59" s="333">
        <f>'Inputs by customer type'!T24</f>
        <v>33839.103386170413</v>
      </c>
      <c r="U59" s="333">
        <f>'Inputs by customer type'!U24</f>
        <v>0</v>
      </c>
      <c r="V59" s="333">
        <f>'Inputs by customer type'!V24</f>
        <v>8451.4185101941748</v>
      </c>
      <c r="W59" s="333">
        <f>'Inputs by customer type'!W24</f>
        <v>0</v>
      </c>
      <c r="X59" s="333">
        <f>'Inputs by customer type'!X24</f>
        <v>286628.40604383906</v>
      </c>
      <c r="Y59" s="333">
        <f>'Inputs by customer type'!Y24</f>
        <v>0</v>
      </c>
      <c r="AQ59" s="3"/>
    </row>
    <row r="60" spans="2:43" x14ac:dyDescent="0.3">
      <c r="E60" s="32"/>
      <c r="F60" s="72" t="s">
        <v>249</v>
      </c>
      <c r="G60" s="72" t="s">
        <v>207</v>
      </c>
      <c r="J60" s="331"/>
      <c r="K60" s="333">
        <f>'Inputs by customer type'!K25</f>
        <v>28839.73547014036</v>
      </c>
      <c r="L60" s="333">
        <f>'Inputs by customer type'!L25</f>
        <v>0</v>
      </c>
      <c r="M60" s="333">
        <f>'Inputs by customer type'!M25</f>
        <v>11694.133459357819</v>
      </c>
      <c r="N60" s="333">
        <f>'Inputs by customer type'!N25</f>
        <v>0</v>
      </c>
      <c r="O60" s="333">
        <f>'Inputs by customer type'!O25</f>
        <v>0</v>
      </c>
      <c r="P60" s="333">
        <f>'Inputs by customer type'!P25</f>
        <v>0</v>
      </c>
      <c r="Q60" s="331"/>
      <c r="R60" s="333">
        <f>'Inputs by customer type'!R25</f>
        <v>904.45814433756675</v>
      </c>
      <c r="S60" s="333">
        <f>'Inputs by customer type'!S25</f>
        <v>0</v>
      </c>
      <c r="T60" s="333">
        <f>'Inputs by customer type'!T25</f>
        <v>28793.328681545252</v>
      </c>
      <c r="U60" s="333">
        <f>'Inputs by customer type'!U25</f>
        <v>0</v>
      </c>
      <c r="V60" s="333">
        <f>'Inputs by customer type'!V25</f>
        <v>8337.0882839597562</v>
      </c>
      <c r="W60" s="333">
        <f>'Inputs by customer type'!W25</f>
        <v>0</v>
      </c>
      <c r="X60" s="333">
        <f>'Inputs by customer type'!X25</f>
        <v>235378.52205465923</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861.47352056885472</v>
      </c>
      <c r="U61" s="333">
        <f>'Inputs by customer type'!U26</f>
        <v>0</v>
      </c>
      <c r="V61" s="333">
        <f>'Inputs by customer type'!V26</f>
        <v>112.05985177756838</v>
      </c>
      <c r="W61" s="333">
        <f>'Inputs by customer type'!W26</f>
        <v>0</v>
      </c>
      <c r="X61" s="333">
        <f>'Inputs by customer type'!X26</f>
        <v>284.55473026719613</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5860.34329429218</v>
      </c>
      <c r="U64" s="125">
        <f>'Inputs by customer type'!U29</f>
        <v>0</v>
      </c>
      <c r="V64" s="125">
        <f>'Inputs by customer type'!V29</f>
        <v>1979.3774685899657</v>
      </c>
      <c r="W64" s="125">
        <f>'Inputs by customer type'!W29</f>
        <v>0</v>
      </c>
      <c r="X64" s="125">
        <f>'Inputs by customer type'!X29</f>
        <v>9248.3392978234697</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394056.97768915538</v>
      </c>
      <c r="K67" s="83"/>
      <c r="L67" s="124">
        <f>'Inputs by customer type'!L32</f>
        <v>5296.5540517673098</v>
      </c>
      <c r="M67" s="83"/>
      <c r="N67" s="124">
        <f>'Inputs by customer type'!N32</f>
        <v>24210.957358027488</v>
      </c>
      <c r="O67" s="124">
        <f>'Inputs by customer type'!O32</f>
        <v>2546.5296662420442</v>
      </c>
      <c r="P67" s="124">
        <f>'Inputs by customer type'!P32</f>
        <v>11806.891010422014</v>
      </c>
      <c r="Q67" s="124">
        <f>'Inputs by customer type'!Q32</f>
        <v>3172.0310077756471</v>
      </c>
      <c r="R67" s="83"/>
      <c r="S67" s="83"/>
      <c r="T67" s="83"/>
      <c r="U67" s="83"/>
      <c r="V67" s="83"/>
      <c r="W67" s="83"/>
      <c r="X67" s="83"/>
      <c r="Y67" s="83"/>
      <c r="AQ67" s="3"/>
    </row>
    <row r="68" spans="3:43" x14ac:dyDescent="0.3">
      <c r="E68" s="32"/>
      <c r="F68" s="72" t="s">
        <v>248</v>
      </c>
      <c r="G68" s="72" t="s">
        <v>207</v>
      </c>
      <c r="J68" s="333">
        <f>'Inputs by customer type'!J33</f>
        <v>2272941.7109962343</v>
      </c>
      <c r="K68" s="331"/>
      <c r="L68" s="333">
        <f>'Inputs by customer type'!L33</f>
        <v>43615.870615073836</v>
      </c>
      <c r="M68" s="331"/>
      <c r="N68" s="333">
        <f>'Inputs by customer type'!N33</f>
        <v>173823.30581969829</v>
      </c>
      <c r="O68" s="333">
        <f>'Inputs by customer type'!O33</f>
        <v>18787.474717934932</v>
      </c>
      <c r="P68" s="333">
        <f>'Inputs by customer type'!P33</f>
        <v>84785.751995411454</v>
      </c>
      <c r="Q68" s="333">
        <f>'Inputs by customer type'!Q33</f>
        <v>36505.652837292037</v>
      </c>
      <c r="R68" s="331"/>
      <c r="S68" s="331"/>
      <c r="T68" s="331"/>
      <c r="U68" s="331"/>
      <c r="V68" s="331"/>
      <c r="W68" s="331"/>
      <c r="X68" s="331"/>
      <c r="Y68" s="331"/>
      <c r="AQ68" s="3"/>
    </row>
    <row r="69" spans="3:43" x14ac:dyDescent="0.3">
      <c r="E69" s="32"/>
      <c r="F69" s="72" t="s">
        <v>249</v>
      </c>
      <c r="G69" s="72" t="s">
        <v>207</v>
      </c>
      <c r="J69" s="333">
        <f>'Inputs by customer type'!J34</f>
        <v>2575955.0606651236</v>
      </c>
      <c r="K69" s="331"/>
      <c r="L69" s="333">
        <f>'Inputs by customer type'!L34</f>
        <v>34884.599727618042</v>
      </c>
      <c r="M69" s="331"/>
      <c r="N69" s="333">
        <f>'Inputs by customer type'!N34</f>
        <v>148750.82920682596</v>
      </c>
      <c r="O69" s="333">
        <f>'Inputs by customer type'!O34</f>
        <v>18221.579236547816</v>
      </c>
      <c r="P69" s="333">
        <f>'Inputs by customer type'!P34</f>
        <v>93725.831776888721</v>
      </c>
      <c r="Q69" s="333">
        <f>'Inputs by customer type'!Q34</f>
        <v>77551.244091183558</v>
      </c>
      <c r="R69" s="331"/>
      <c r="S69" s="331"/>
      <c r="T69" s="331"/>
      <c r="U69" s="331"/>
      <c r="V69" s="331"/>
      <c r="W69" s="331"/>
      <c r="X69" s="331"/>
      <c r="Y69" s="331"/>
      <c r="AQ69" s="3"/>
    </row>
    <row r="70" spans="3:43" x14ac:dyDescent="0.3">
      <c r="E70" s="32"/>
      <c r="F70" s="72" t="s">
        <v>212</v>
      </c>
      <c r="G70" s="72" t="s">
        <v>212</v>
      </c>
      <c r="J70" s="333">
        <f>'Inputs by customer type'!J35</f>
        <v>1491636.9166571859</v>
      </c>
      <c r="K70" s="331"/>
      <c r="L70" s="333">
        <f>'Inputs by customer type'!L35</f>
        <v>62925.878210158902</v>
      </c>
      <c r="M70" s="331"/>
      <c r="N70" s="333">
        <f>'Inputs by customer type'!N35</f>
        <v>4166.3518523132634</v>
      </c>
      <c r="O70" s="333">
        <f>'Inputs by customer type'!O35</f>
        <v>325.76835966317407</v>
      </c>
      <c r="P70" s="333">
        <f>'Inputs by customer type'!P35</f>
        <v>471.56647753161769</v>
      </c>
      <c r="Q70" s="333">
        <f>'Inputs by customer type'!Q35</f>
        <v>24.569263564139717</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160052.28402504176</v>
      </c>
      <c r="O71" s="333">
        <f>'Inputs by customer type'!O36</f>
        <v>17249.612816460703</v>
      </c>
      <c r="P71" s="333">
        <f>'Inputs by customer type'!P36</f>
        <v>83978.983450174608</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3846.2261182455973</v>
      </c>
      <c r="O72" s="333">
        <f>'Inputs by customer type'!O37</f>
        <v>246.01251666723277</v>
      </c>
      <c r="P72" s="333">
        <f>'Inputs by customer type'!P37</f>
        <v>305.13158521214103</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36617.777030644895</v>
      </c>
      <c r="O73" s="125">
        <f>'Inputs by customer type'!O38</f>
        <v>3600.1474561872697</v>
      </c>
      <c r="P73" s="125">
        <f>'Inputs by customer type'!P38</f>
        <v>10438.16109897426</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24067.395102857277</v>
      </c>
      <c r="M76" s="83"/>
      <c r="N76" s="124">
        <f>'Inputs by customer type'!N41</f>
        <v>28983.569543671445</v>
      </c>
      <c r="O76" s="124">
        <f>'Inputs by customer type'!O41</f>
        <v>7031.2666882669519</v>
      </c>
      <c r="P76" s="124">
        <f>'Inputs by customer type'!P41</f>
        <v>38382.451737605334</v>
      </c>
      <c r="Q76" s="83"/>
      <c r="R76" s="83"/>
      <c r="S76" s="83"/>
      <c r="T76" s="83"/>
      <c r="U76" s="83"/>
      <c r="V76" s="83"/>
      <c r="W76" s="83"/>
      <c r="X76" s="83"/>
      <c r="Y76" s="83"/>
      <c r="AQ76" s="3"/>
    </row>
    <row r="77" spans="3:43" x14ac:dyDescent="0.3">
      <c r="E77" s="32"/>
      <c r="F77" s="72" t="s">
        <v>248</v>
      </c>
      <c r="G77" s="72" t="s">
        <v>207</v>
      </c>
      <c r="J77" s="331"/>
      <c r="K77" s="331"/>
      <c r="L77" s="333">
        <f>'Inputs by customer type'!L42</f>
        <v>198189.30961307243</v>
      </c>
      <c r="M77" s="331"/>
      <c r="N77" s="333">
        <f>'Inputs by customer type'!N42</f>
        <v>208088.42038068635</v>
      </c>
      <c r="O77" s="333">
        <f>'Inputs by customer type'!O42</f>
        <v>51874.418308197128</v>
      </c>
      <c r="P77" s="333">
        <f>'Inputs by customer type'!P42</f>
        <v>275625.90618714766</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158514.65621680312</v>
      </c>
      <c r="M78" s="331"/>
      <c r="N78" s="333">
        <f>'Inputs by customer type'!N43</f>
        <v>178073.50363059275</v>
      </c>
      <c r="O78" s="333">
        <f>'Inputs by customer type'!O43</f>
        <v>50311.91459969338</v>
      </c>
      <c r="P78" s="333">
        <f>'Inputs by customer type'!P43</f>
        <v>304688.77976157115</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47968.49437961082</v>
      </c>
      <c r="M79" s="331"/>
      <c r="N79" s="333">
        <f>'Inputs by customer type'!N44</f>
        <v>2619.817783314505</v>
      </c>
      <c r="O79" s="333">
        <f>'Inputs by customer type'!O44</f>
        <v>453.57718513574679</v>
      </c>
      <c r="P79" s="333">
        <f>'Inputs by customer type'!P44</f>
        <v>408.48411979164251</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277023.41467353178</v>
      </c>
      <c r="O80" s="333">
        <f>'Inputs by customer type'!O45</f>
        <v>59741.776172999693</v>
      </c>
      <c r="P80" s="333">
        <f>'Inputs by customer type'!P45</f>
        <v>265139.66038376192</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6657.1664339148783</v>
      </c>
      <c r="O81" s="333">
        <f>'Inputs by customer type'!O46</f>
        <v>852.03215068486224</v>
      </c>
      <c r="P81" s="333">
        <f>'Inputs by customer type'!P46</f>
        <v>963.36585121331063</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43836.097491223634</v>
      </c>
      <c r="O82" s="125">
        <f>'Inputs by customer type'!O47</f>
        <v>9940.4288185239348</v>
      </c>
      <c r="P82" s="125">
        <f>'Inputs by customer type'!P47</f>
        <v>33932.913775275789</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24160.880668327238</v>
      </c>
      <c r="M85" s="83"/>
      <c r="N85" s="124">
        <f>'Inputs by customer type'!N50</f>
        <v>14332.652753814244</v>
      </c>
      <c r="O85" s="124">
        <f>'Inputs by customer type'!O50</f>
        <v>7321.3696127787662</v>
      </c>
      <c r="P85" s="124">
        <f>'Inputs by customer type'!P50</f>
        <v>25205.745356841559</v>
      </c>
      <c r="Q85" s="83"/>
      <c r="R85" s="83"/>
      <c r="S85" s="83"/>
      <c r="T85" s="83"/>
      <c r="U85" s="83"/>
      <c r="V85" s="83"/>
      <c r="W85" s="83"/>
      <c r="X85" s="83"/>
      <c r="Y85" s="83"/>
      <c r="AQ85" s="3"/>
    </row>
    <row r="86" spans="3:43" x14ac:dyDescent="0.3">
      <c r="E86" s="32"/>
      <c r="F86" s="72" t="s">
        <v>248</v>
      </c>
      <c r="G86" s="72" t="s">
        <v>207</v>
      </c>
      <c r="J86" s="331"/>
      <c r="K86" s="331"/>
      <c r="L86" s="333">
        <f>'Inputs by customer type'!L51</f>
        <v>198959.14114656809</v>
      </c>
      <c r="M86" s="331"/>
      <c r="N86" s="333">
        <f>'Inputs by customer type'!N51</f>
        <v>102901.71701978368</v>
      </c>
      <c r="O86" s="333">
        <f>'Inputs by customer type'!O51</f>
        <v>54014.704138013432</v>
      </c>
      <c r="P86" s="333">
        <f>'Inputs by customer type'!P51</f>
        <v>181003.4557614059</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159130.37853358782</v>
      </c>
      <c r="M87" s="331"/>
      <c r="N87" s="333">
        <f>'Inputs by customer type'!N52</f>
        <v>88059.05319380002</v>
      </c>
      <c r="O87" s="333">
        <f>'Inputs by customer type'!O52</f>
        <v>52387.733112951501</v>
      </c>
      <c r="P87" s="333">
        <f>'Inputs by customer type'!P52</f>
        <v>200089.03673635126</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20069.348725410768</v>
      </c>
      <c r="M88" s="331"/>
      <c r="N88" s="333">
        <f>'Inputs by customer type'!N53</f>
        <v>853.59936953217709</v>
      </c>
      <c r="O88" s="333">
        <f>'Inputs by customer type'!O53</f>
        <v>299.8222071236292</v>
      </c>
      <c r="P88" s="333">
        <f>'Inputs by customer type'!P53</f>
        <v>127.19885249208109</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147462.1666720006</v>
      </c>
      <c r="O89" s="333">
        <f>'Inputs by customer type'!O54</f>
        <v>62924.607165159709</v>
      </c>
      <c r="P89" s="333">
        <f>'Inputs by customer type'!P54</f>
        <v>167696.45030368963</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3543.6722466153269</v>
      </c>
      <c r="O90" s="333">
        <f>'Inputs by customer type'!O55</f>
        <v>897.42541665779731</v>
      </c>
      <c r="P90" s="333">
        <f>'Inputs by customer type'!P55</f>
        <v>609.31296871404868</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21677.370086433762</v>
      </c>
      <c r="O91" s="125">
        <f>'Inputs by customer type'!O56</f>
        <v>10350.560818774673</v>
      </c>
      <c r="P91" s="125">
        <f>'Inputs by customer type'!P56</f>
        <v>22283.735017304152</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78435.616458448712</v>
      </c>
      <c r="M94" s="83"/>
      <c r="N94" s="124">
        <f>'Inputs by customer type'!N59</f>
        <v>16653.660199171805</v>
      </c>
      <c r="O94" s="124">
        <f>'Inputs by customer type'!O59</f>
        <v>28202.556450972552</v>
      </c>
      <c r="P94" s="124">
        <f>'Inputs by customer type'!P59</f>
        <v>68919.12114264624</v>
      </c>
      <c r="Q94" s="83"/>
      <c r="R94" s="83"/>
      <c r="S94" s="83"/>
      <c r="T94" s="83"/>
      <c r="U94" s="83"/>
      <c r="V94" s="83"/>
      <c r="W94" s="83"/>
      <c r="X94" s="83"/>
      <c r="Y94" s="83"/>
      <c r="AQ94" s="3"/>
    </row>
    <row r="95" spans="3:43" x14ac:dyDescent="0.3">
      <c r="E95" s="32"/>
      <c r="F95" s="72" t="s">
        <v>248</v>
      </c>
      <c r="G95" s="72" t="s">
        <v>207</v>
      </c>
      <c r="J95" s="331"/>
      <c r="K95" s="331"/>
      <c r="L95" s="333">
        <f>'Inputs by customer type'!L60</f>
        <v>645898.76089789951</v>
      </c>
      <c r="M95" s="331"/>
      <c r="N95" s="333">
        <f>'Inputs by customer type'!N60</f>
        <v>119565.4606718048</v>
      </c>
      <c r="O95" s="333">
        <f>'Inputs by customer type'!O60</f>
        <v>208069.36723643003</v>
      </c>
      <c r="P95" s="333">
        <f>'Inputs by customer type'!P60</f>
        <v>494910.93868692045</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516599.10534264491</v>
      </c>
      <c r="M96" s="331"/>
      <c r="N96" s="333">
        <f>'Inputs by customer type'!N61</f>
        <v>102319.19900243658</v>
      </c>
      <c r="O96" s="333">
        <f>'Inputs by customer type'!O61</f>
        <v>201802.1324695473</v>
      </c>
      <c r="P96" s="333">
        <f>'Inputs by customer type'!P61</f>
        <v>547095.92463628517</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20183.108818155033</v>
      </c>
      <c r="M97" s="331"/>
      <c r="N97" s="333">
        <f>'Inputs by customer type'!N62</f>
        <v>537.73481409709484</v>
      </c>
      <c r="O97" s="333">
        <f>'Inputs by customer type'!O62</f>
        <v>572.73729309513794</v>
      </c>
      <c r="P97" s="333">
        <f>'Inputs by customer type'!P62</f>
        <v>136.50608560125775</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171568.13462942591</v>
      </c>
      <c r="O98" s="333">
        <f>'Inputs by customer type'!O63</f>
        <v>248367.22167633311</v>
      </c>
      <c r="P98" s="333">
        <f>'Inputs by customer type'!P63</f>
        <v>426114.12005975784</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4122.9642206613462</v>
      </c>
      <c r="O99" s="333">
        <f>'Inputs by customer type'!O64</f>
        <v>3542.1922748281177</v>
      </c>
      <c r="P99" s="333">
        <f>'Inputs by customer type'!P64</f>
        <v>1548.2549513385443</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25187.769607764145</v>
      </c>
      <c r="O100" s="125">
        <f>'Inputs by customer type'!O65</f>
        <v>39871.266064919306</v>
      </c>
      <c r="P100" s="125">
        <f>'Inputs by customer type'!P65</f>
        <v>60929.578214252637</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5.1069600457863729</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44.031921592651642</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18.658964606730699</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2662.4957515671886</v>
      </c>
      <c r="K114" s="83"/>
      <c r="L114" s="124">
        <f>'Inputs by customer type'!L79</f>
        <v>4.0270931817701605</v>
      </c>
      <c r="M114" s="83"/>
      <c r="N114" s="124">
        <f>'Inputs by customer type'!N79</f>
        <v>52.917081243415204</v>
      </c>
      <c r="O114" s="124">
        <f>'Inputs by customer type'!O79</f>
        <v>0</v>
      </c>
      <c r="P114" s="124">
        <f>'Inputs by customer type'!P79</f>
        <v>0</v>
      </c>
      <c r="Q114" s="124">
        <f>'Inputs by customer type'!Q79</f>
        <v>1.377515987053852</v>
      </c>
      <c r="R114" s="83"/>
      <c r="S114" s="83"/>
      <c r="T114" s="83"/>
      <c r="U114" s="83"/>
      <c r="V114" s="83"/>
      <c r="W114" s="83"/>
      <c r="X114" s="83"/>
      <c r="Y114" s="83"/>
      <c r="AQ114" s="3"/>
    </row>
    <row r="115" spans="5:43" x14ac:dyDescent="0.3">
      <c r="E115" s="32"/>
      <c r="F115" s="72" t="s">
        <v>248</v>
      </c>
      <c r="G115" s="72" t="s">
        <v>207</v>
      </c>
      <c r="J115" s="333">
        <f>'Inputs by customer type'!J80</f>
        <v>14385.094329467913</v>
      </c>
      <c r="K115" s="331"/>
      <c r="L115" s="333">
        <f>'Inputs by customer type'!L80</f>
        <v>34.81985147428901</v>
      </c>
      <c r="M115" s="331"/>
      <c r="N115" s="333">
        <f>'Inputs by customer type'!N80</f>
        <v>373.27659921704941</v>
      </c>
      <c r="O115" s="333">
        <f>'Inputs by customer type'!O80</f>
        <v>0</v>
      </c>
      <c r="P115" s="333">
        <f>'Inputs by customer type'!P80</f>
        <v>0</v>
      </c>
      <c r="Q115" s="333">
        <f>'Inputs by customer type'!Q80</f>
        <v>73.782528103874384</v>
      </c>
      <c r="R115" s="331"/>
      <c r="S115" s="331"/>
      <c r="T115" s="331"/>
      <c r="U115" s="331"/>
      <c r="V115" s="331"/>
      <c r="W115" s="331"/>
      <c r="X115" s="331"/>
      <c r="Y115" s="331"/>
      <c r="AQ115" s="3"/>
    </row>
    <row r="116" spans="5:43" x14ac:dyDescent="0.3">
      <c r="E116" s="32"/>
      <c r="F116" s="72" t="s">
        <v>249</v>
      </c>
      <c r="G116" s="72" t="s">
        <v>207</v>
      </c>
      <c r="J116" s="333">
        <f>'Inputs by customer type'!J81</f>
        <v>14990.768520839179</v>
      </c>
      <c r="K116" s="331"/>
      <c r="L116" s="333">
        <f>'Inputs by customer type'!L81</f>
        <v>23.989961355758282</v>
      </c>
      <c r="M116" s="331"/>
      <c r="N116" s="333">
        <f>'Inputs by customer type'!N81</f>
        <v>379.68247494648642</v>
      </c>
      <c r="O116" s="333">
        <f>'Inputs by customer type'!O81</f>
        <v>0</v>
      </c>
      <c r="P116" s="333">
        <f>'Inputs by customer type'!P81</f>
        <v>0</v>
      </c>
      <c r="Q116" s="333">
        <f>'Inputs by customer type'!Q81</f>
        <v>94.532347277294178</v>
      </c>
      <c r="R116" s="331"/>
      <c r="S116" s="331"/>
      <c r="T116" s="331"/>
      <c r="U116" s="331"/>
      <c r="V116" s="331"/>
      <c r="W116" s="331"/>
      <c r="X116" s="331"/>
      <c r="Y116" s="331"/>
      <c r="AQ116" s="3"/>
    </row>
    <row r="117" spans="5:43" x14ac:dyDescent="0.3">
      <c r="E117" s="32"/>
      <c r="F117" s="72" t="s">
        <v>212</v>
      </c>
      <c r="G117" s="72" t="s">
        <v>212</v>
      </c>
      <c r="J117" s="333">
        <f>'Inputs by customer type'!J82</f>
        <v>11395.451848846675</v>
      </c>
      <c r="K117" s="331"/>
      <c r="L117" s="333">
        <f>'Inputs by customer type'!L82</f>
        <v>102.72993058813056</v>
      </c>
      <c r="M117" s="331"/>
      <c r="N117" s="333">
        <f>'Inputs by customer type'!N82</f>
        <v>17.549170731708863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743.8192057424684</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6.5598439795778951</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121.56717969653396</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18.299000024241248</v>
      </c>
      <c r="M123" s="83"/>
      <c r="N123" s="124">
        <f>'Inputs by customer type'!N88</f>
        <v>63.348420369593839</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158.22044194468219</v>
      </c>
      <c r="M124" s="331"/>
      <c r="N124" s="333">
        <f>'Inputs by customer type'!N89</f>
        <v>446.85916845189809</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109.00972081247018</v>
      </c>
      <c r="M125" s="331"/>
      <c r="N125" s="333">
        <f>'Inputs by customer type'!N90</f>
        <v>454.52780963558484</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78.311185130809903</v>
      </c>
      <c r="M126" s="331"/>
      <c r="N126" s="333">
        <f>'Inputs by customer type'!N91</f>
        <v>11.034984848873593</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1287.4251531599102</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11.353979669943069</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145.5312466524272</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18.370079273054426</v>
      </c>
      <c r="M132" s="83"/>
      <c r="N132" s="124">
        <f>'Inputs by customer type'!N97</f>
        <v>31.326400645440589</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158.83502143784676</v>
      </c>
      <c r="M133" s="331"/>
      <c r="N133" s="333">
        <f>'Inputs by customer type'!N98</f>
        <v>220.97613896828312</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109.43314991014873</v>
      </c>
      <c r="M134" s="331"/>
      <c r="N134" s="333">
        <f>'Inputs by customer type'!N99</f>
        <v>224.76835548646491</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32.764307152372574</v>
      </c>
      <c r="M135" s="331"/>
      <c r="N135" s="333">
        <f>'Inputs by customer type'!N100</f>
        <v>3.5954623141302782</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685.30850627454743</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6.0438300656021067</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71.96659541731205</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59.636422693045517</v>
      </c>
      <c r="M141" s="83"/>
      <c r="N141" s="124">
        <f>'Inputs by customer type'!N106</f>
        <v>36.399349134684648</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515.64026132541517</v>
      </c>
      <c r="M142" s="331"/>
      <c r="N142" s="333">
        <f>'Inputs by customer type'!N107</f>
        <v>256.76067045742155</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355.26257060010624</v>
      </c>
      <c r="M143" s="331"/>
      <c r="N143" s="333">
        <f>'Inputs by customer type'!N108</f>
        <v>261.16699260728871</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32.950026712650889</v>
      </c>
      <c r="M144" s="331"/>
      <c r="N144" s="333">
        <f>'Inputs by customer type'!N109</f>
        <v>2.2650031479540291</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797.33741013536383</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7.0318283921531535</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83.620753698385656</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9.3175685451818087</v>
      </c>
      <c r="U152" s="124">
        <f>'Inputs by customer type'!U117</f>
        <v>0</v>
      </c>
      <c r="V152" s="124">
        <f>'Inputs by customer type'!V117</f>
        <v>0</v>
      </c>
      <c r="W152" s="124">
        <f>'Inputs by customer type'!W117</f>
        <v>0</v>
      </c>
      <c r="X152" s="124">
        <f>'Inputs by customer type'!X117</f>
        <v>0.28793605051586674</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82.718185842262727</v>
      </c>
      <c r="U153" s="333">
        <f>'Inputs by customer type'!U118</f>
        <v>0</v>
      </c>
      <c r="V153" s="333">
        <f>'Inputs by customer type'!V118</f>
        <v>0</v>
      </c>
      <c r="W153" s="333">
        <f>'Inputs by customer type'!W118</f>
        <v>0</v>
      </c>
      <c r="X153" s="333">
        <f>'Inputs by customer type'!X118</f>
        <v>2.9395648662404099</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316.59177029657002</v>
      </c>
      <c r="U154" s="333">
        <f>'Inputs by customer type'!U119</f>
        <v>0</v>
      </c>
      <c r="V154" s="333">
        <f>'Inputs by customer type'!V119</f>
        <v>0</v>
      </c>
      <c r="W154" s="333">
        <f>'Inputs by customer type'!W119</f>
        <v>0</v>
      </c>
      <c r="X154" s="333">
        <f>'Inputs by customer type'!X119</f>
        <v>2.0316824650938816</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4.912912803409677</v>
      </c>
      <c r="U155" s="333">
        <f>'Inputs by customer type'!U120</f>
        <v>0</v>
      </c>
      <c r="V155" s="333">
        <f>'Inputs by customer type'!V120</f>
        <v>0</v>
      </c>
      <c r="W155" s="333">
        <f>'Inputs by customer type'!W120</f>
        <v>0</v>
      </c>
      <c r="X155" s="333">
        <f>'Inputs by customer type'!X120</f>
        <v>0.24209302560552895</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2.1782595025625353</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7813.6855843248686</v>
      </c>
      <c r="K161" s="83"/>
      <c r="L161" s="124">
        <f>'Inputs by customer type'!L126</f>
        <v>40.398450714256612</v>
      </c>
      <c r="M161" s="83"/>
      <c r="N161" s="124">
        <f>'Inputs by customer type'!N126</f>
        <v>1610.7044984066426</v>
      </c>
      <c r="O161" s="124">
        <f>'Inputs by customer type'!O126</f>
        <v>29.824374269733354</v>
      </c>
      <c r="P161" s="124">
        <f>'Inputs by customer type'!P126</f>
        <v>141.35141652837905</v>
      </c>
      <c r="Q161" s="124">
        <f>'Inputs by customer type'!Q126</f>
        <v>4.710732375202654</v>
      </c>
      <c r="R161" s="83"/>
      <c r="S161" s="83"/>
      <c r="T161" s="83"/>
      <c r="U161" s="83"/>
      <c r="V161" s="83"/>
      <c r="W161" s="83"/>
      <c r="X161" s="83"/>
      <c r="Y161" s="83"/>
      <c r="AQ161" s="3"/>
    </row>
    <row r="162" spans="5:43" x14ac:dyDescent="0.3">
      <c r="E162" s="32"/>
      <c r="F162" s="72" t="s">
        <v>248</v>
      </c>
      <c r="G162" s="72" t="s">
        <v>207</v>
      </c>
      <c r="J162" s="333">
        <f>'Inputs by customer type'!J127</f>
        <v>42124.414068561608</v>
      </c>
      <c r="K162" s="331"/>
      <c r="L162" s="333">
        <f>'Inputs by customer type'!L127</f>
        <v>305.64751449019064</v>
      </c>
      <c r="M162" s="331"/>
      <c r="N162" s="333">
        <f>'Inputs by customer type'!N127</f>
        <v>10423.833606379383</v>
      </c>
      <c r="O162" s="333">
        <f>'Inputs by customer type'!O127</f>
        <v>174.22414506600805</v>
      </c>
      <c r="P162" s="333">
        <f>'Inputs by customer type'!P127</f>
        <v>934.81326346239746</v>
      </c>
      <c r="Q162" s="333">
        <f>'Inputs by customer type'!Q127</f>
        <v>385.64429086836378</v>
      </c>
      <c r="R162" s="331"/>
      <c r="S162" s="331"/>
      <c r="T162" s="331"/>
      <c r="U162" s="331"/>
      <c r="V162" s="331"/>
      <c r="W162" s="331"/>
      <c r="X162" s="331"/>
      <c r="Y162" s="331"/>
      <c r="AQ162" s="3"/>
    </row>
    <row r="163" spans="5:43" x14ac:dyDescent="0.3">
      <c r="E163" s="32"/>
      <c r="F163" s="72" t="s">
        <v>249</v>
      </c>
      <c r="G163" s="72" t="s">
        <v>207</v>
      </c>
      <c r="J163" s="333">
        <f>'Inputs by customer type'!J128</f>
        <v>42739.742303409541</v>
      </c>
      <c r="K163" s="331"/>
      <c r="L163" s="333">
        <f>'Inputs by customer type'!L128</f>
        <v>213.48470283376727</v>
      </c>
      <c r="M163" s="331"/>
      <c r="N163" s="333">
        <f>'Inputs by customer type'!N128</f>
        <v>9537.6733030920877</v>
      </c>
      <c r="O163" s="333">
        <f>'Inputs by customer type'!O128</f>
        <v>196.52933498095166</v>
      </c>
      <c r="P163" s="333">
        <f>'Inputs by customer type'!P128</f>
        <v>1191.9373651919088</v>
      </c>
      <c r="Q163" s="333">
        <f>'Inputs by customer type'!Q128</f>
        <v>494.29181511786317</v>
      </c>
      <c r="R163" s="331"/>
      <c r="S163" s="331"/>
      <c r="T163" s="331"/>
      <c r="U163" s="331"/>
      <c r="V163" s="331"/>
      <c r="W163" s="331"/>
      <c r="X163" s="331"/>
      <c r="Y163" s="331"/>
      <c r="AQ163" s="3"/>
    </row>
    <row r="164" spans="5:43" x14ac:dyDescent="0.3">
      <c r="E164" s="32"/>
      <c r="F164" s="72" t="s">
        <v>212</v>
      </c>
      <c r="G164" s="72" t="s">
        <v>212</v>
      </c>
      <c r="J164" s="333">
        <f>'Inputs by customer type'!J129</f>
        <v>33714.381027148498</v>
      </c>
      <c r="K164" s="331"/>
      <c r="L164" s="333">
        <f>'Inputs by customer type'!L129</f>
        <v>432.55612576454951</v>
      </c>
      <c r="M164" s="331"/>
      <c r="N164" s="333">
        <f>'Inputs by customer type'!N129</f>
        <v>137.63780660998748</v>
      </c>
      <c r="O164" s="333">
        <f>'Inputs by customer type'!O129</f>
        <v>1.080346161740628</v>
      </c>
      <c r="P164" s="333">
        <f>'Inputs by customer type'!P129</f>
        <v>4.5172988511399623</v>
      </c>
      <c r="Q164" s="333">
        <f>'Inputs by customer type'!Q129</f>
        <v>0.58390516788023794</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11053.017172588452</v>
      </c>
      <c r="O165" s="333">
        <f>'Inputs by customer type'!O130</f>
        <v>140.12118119972334</v>
      </c>
      <c r="P165" s="333">
        <f>'Inputs by customer type'!P130</f>
        <v>1196.8181916542871</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52.511460523249077</v>
      </c>
      <c r="O166" s="333">
        <f>'Inputs by customer type'!O131</f>
        <v>0</v>
      </c>
      <c r="P166" s="333">
        <f>'Inputs by customer type'!P131</f>
        <v>0</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1019.7116669502295</v>
      </c>
      <c r="O167" s="125">
        <f>'Inputs by customer type'!O132</f>
        <v>30.195638942669014</v>
      </c>
      <c r="P167" s="125">
        <f>'Inputs by customer type'!P132</f>
        <v>47.65927285120798</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183.5694425810488</v>
      </c>
      <c r="M170" s="83"/>
      <c r="N170" s="124">
        <f>'Inputs by customer type'!N135</f>
        <v>1928.216433308228</v>
      </c>
      <c r="O170" s="124">
        <f>'Inputs by customer type'!O135</f>
        <v>82.348590743356411</v>
      </c>
      <c r="P170" s="124">
        <f>'Inputs by customer type'!P135</f>
        <v>459.51249301391971</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1388.8538513049211</v>
      </c>
      <c r="M171" s="331"/>
      <c r="N171" s="333">
        <f>'Inputs by customer type'!N136</f>
        <v>12478.643523858183</v>
      </c>
      <c r="O171" s="333">
        <f>'Inputs by customer type'!O136</f>
        <v>481.05327172653296</v>
      </c>
      <c r="P171" s="333">
        <f>'Inputs by customer type'!P136</f>
        <v>3038.9392886617607</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970.06858446048329</v>
      </c>
      <c r="M172" s="331"/>
      <c r="N172" s="333">
        <f>'Inputs by customer type'!N137</f>
        <v>11417.797874619437</v>
      </c>
      <c r="O172" s="333">
        <f>'Inputs by customer type'!O137</f>
        <v>542.64051373021755</v>
      </c>
      <c r="P172" s="333">
        <f>'Inputs by customer type'!P137</f>
        <v>3874.8116124171524</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329.7382043410758</v>
      </c>
      <c r="M173" s="331"/>
      <c r="N173" s="333">
        <f>'Inputs by customer type'!N138</f>
        <v>86.547172729312692</v>
      </c>
      <c r="O173" s="333">
        <f>'Inputs by customer type'!O138</f>
        <v>1.504198785668367</v>
      </c>
      <c r="P173" s="333">
        <f>'Inputs by customer type'!P138</f>
        <v>3.9130110662286954</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19130.90199397946</v>
      </c>
      <c r="O174" s="333">
        <f>'Inputs by customer type'!O139</f>
        <v>485.29137050206526</v>
      </c>
      <c r="P174" s="333">
        <f>'Inputs by customer type'!P139</f>
        <v>3778.6116935387367</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90.888450560123303</v>
      </c>
      <c r="O175" s="333">
        <f>'Inputs by customer type'!O140</f>
        <v>0</v>
      </c>
      <c r="P175" s="333">
        <f>'Inputs by customer type'!P140</f>
        <v>0</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1220.7234755938211</v>
      </c>
      <c r="O176" s="125">
        <f>'Inputs by customer type'!O141</f>
        <v>83.373695992255847</v>
      </c>
      <c r="P176" s="125">
        <f>'Inputs by customer type'!P141</f>
        <v>154.93322826865582</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184.28248581108483</v>
      </c>
      <c r="M179" s="83"/>
      <c r="N179" s="124">
        <f>'Inputs by customer type'!N144</f>
        <v>953.52149538252661</v>
      </c>
      <c r="O179" s="124">
        <f>'Inputs by customer type'!O144</f>
        <v>85.746209986548919</v>
      </c>
      <c r="P179" s="124">
        <f>'Inputs by customer type'!P144</f>
        <v>301.76172607151216</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1394.2486099437135</v>
      </c>
      <c r="M180" s="331"/>
      <c r="N180" s="333">
        <f>'Inputs by customer type'!N145</f>
        <v>6170.8087472319148</v>
      </c>
      <c r="O180" s="333">
        <f>'Inputs by customer type'!O145</f>
        <v>500.90104129083045</v>
      </c>
      <c r="P180" s="333">
        <f>'Inputs by customer type'!P145</f>
        <v>1995.6705837491279</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973.83664534847549</v>
      </c>
      <c r="M181" s="331"/>
      <c r="N181" s="333">
        <f>'Inputs by customer type'!N146</f>
        <v>5646.210412543579</v>
      </c>
      <c r="O181" s="333">
        <f>'Inputs by customer type'!O146</f>
        <v>565.02931036829955</v>
      </c>
      <c r="P181" s="333">
        <f>'Inputs by customer type'!P146</f>
        <v>2544.5877057569342</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137.95786373117127</v>
      </c>
      <c r="M182" s="331"/>
      <c r="N182" s="333">
        <f>'Inputs by customer type'!N147</f>
        <v>28.199141385729334</v>
      </c>
      <c r="O182" s="333">
        <f>'Inputs by customer type'!O147</f>
        <v>0.99430089222146278</v>
      </c>
      <c r="P182" s="333">
        <f>'Inputs by customer type'!P147</f>
        <v>1.2184819269522267</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10183.558894278001</v>
      </c>
      <c r="O183" s="333">
        <f>'Inputs by customer type'!O148</f>
        <v>511.14598201861844</v>
      </c>
      <c r="P183" s="333">
        <f>'Inputs by customer type'!P148</f>
        <v>2389.9094053500071</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48.380776263448972</v>
      </c>
      <c r="O184" s="333">
        <f>'Inputs by customer type'!O149</f>
        <v>0</v>
      </c>
      <c r="P184" s="333">
        <f>'Inputs by customer type'!P149</f>
        <v>0</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603.65945118501691</v>
      </c>
      <c r="O185" s="125">
        <f>'Inputs by customer type'!O150</f>
        <v>86.813610037199268</v>
      </c>
      <c r="P185" s="125">
        <f>'Inputs by customer type'!P150</f>
        <v>101.74460781584219</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598.25262892987507</v>
      </c>
      <c r="M188" s="83"/>
      <c r="N188" s="124">
        <f>'Inputs by customer type'!N153</f>
        <v>1107.9332800050458</v>
      </c>
      <c r="O188" s="124">
        <f>'Inputs by customer type'!O153</f>
        <v>330.30190463021313</v>
      </c>
      <c r="P188" s="124">
        <f>'Inputs by customer type'!P153</f>
        <v>825.09573356820545</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4526.2733059490656</v>
      </c>
      <c r="M189" s="331"/>
      <c r="N189" s="333">
        <f>'Inputs by customer type'!N154</f>
        <v>7170.0998967639725</v>
      </c>
      <c r="O189" s="333">
        <f>'Inputs by customer type'!O154</f>
        <v>1929.5146455519418</v>
      </c>
      <c r="P189" s="333">
        <f>'Inputs by customer type'!P154</f>
        <v>5456.6869884246225</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3161.452542078373</v>
      </c>
      <c r="M190" s="331"/>
      <c r="N190" s="333">
        <f>'Inputs by customer type'!N155</f>
        <v>6560.5489254948216</v>
      </c>
      <c r="O190" s="333">
        <f>'Inputs by customer type'!O155</f>
        <v>2176.5423499863377</v>
      </c>
      <c r="P190" s="333">
        <f>'Inputs by customer type'!P155</f>
        <v>6957.5704216796648</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138.73985718734096</v>
      </c>
      <c r="M191" s="331"/>
      <c r="N191" s="333">
        <f>'Inputs by customer type'!N156</f>
        <v>17.764375879358298</v>
      </c>
      <c r="O191" s="333">
        <f>'Inputs by customer type'!O156</f>
        <v>1.8993696530897177</v>
      </c>
      <c r="P191" s="333">
        <f>'Inputs by customer type'!P156</f>
        <v>1.3076391411194628</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11848.287888420948</v>
      </c>
      <c r="O192" s="333">
        <f>'Inputs by customer type'!O157</f>
        <v>2017.5240362132338</v>
      </c>
      <c r="P192" s="333">
        <f>'Inputs by customer type'!P157</f>
        <v>6072.7233130995573</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56.289689231994885</v>
      </c>
      <c r="O193" s="333">
        <f>'Inputs by customer type'!O158</f>
        <v>0</v>
      </c>
      <c r="P193" s="333">
        <f>'Inputs by customer type'!P158</f>
        <v>0</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701.41512173163085</v>
      </c>
      <c r="O194" s="125">
        <f>'Inputs by customer type'!O159</f>
        <v>334.41362303488086</v>
      </c>
      <c r="P194" s="125">
        <f>'Inputs by customer type'!P159</f>
        <v>278.19645292765608</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394056.97768915538</v>
      </c>
      <c r="K199" s="126">
        <f t="shared" si="2"/>
        <v>165.19190239670218</v>
      </c>
      <c r="L199" s="126">
        <f t="shared" si="2"/>
        <v>131960.44628140054</v>
      </c>
      <c r="M199" s="126">
        <f t="shared" si="2"/>
        <v>156.53988635874572</v>
      </c>
      <c r="N199" s="126">
        <f t="shared" si="2"/>
        <v>84180.839854684978</v>
      </c>
      <c r="O199" s="126">
        <f t="shared" si="2"/>
        <v>45101.722418260309</v>
      </c>
      <c r="P199" s="126">
        <f t="shared" si="2"/>
        <v>144314.20924751513</v>
      </c>
      <c r="Q199" s="126">
        <f t="shared" si="2"/>
        <v>3172.0310077756471</v>
      </c>
      <c r="R199" s="126">
        <f t="shared" si="2"/>
        <v>208.43531675970064</v>
      </c>
      <c r="S199" s="126">
        <f t="shared" si="2"/>
        <v>0</v>
      </c>
      <c r="T199" s="126">
        <f t="shared" si="2"/>
        <v>3867.6374675826655</v>
      </c>
      <c r="U199" s="126">
        <f t="shared" si="2"/>
        <v>0</v>
      </c>
      <c r="V199" s="126">
        <f t="shared" si="2"/>
        <v>1009.8765349498661</v>
      </c>
      <c r="W199" s="126">
        <f t="shared" si="2"/>
        <v>0</v>
      </c>
      <c r="X199" s="126">
        <f t="shared" si="2"/>
        <v>33792.907334020259</v>
      </c>
      <c r="Y199" s="126">
        <f t="shared" si="2"/>
        <v>0</v>
      </c>
    </row>
    <row r="200" spans="4:43" x14ac:dyDescent="0.3">
      <c r="E200" s="32"/>
      <c r="F200" s="72" t="s">
        <v>248</v>
      </c>
      <c r="G200" s="72" t="s">
        <v>207</v>
      </c>
      <c r="J200" s="330">
        <f t="shared" ref="J200:Y200" si="3">SUM( J68, J77, J86, J95, J59 )</f>
        <v>2272941.7109962343</v>
      </c>
      <c r="K200" s="330">
        <f t="shared" si="3"/>
        <v>8808.4021048564955</v>
      </c>
      <c r="L200" s="330">
        <f t="shared" si="3"/>
        <v>1086663.0822726139</v>
      </c>
      <c r="M200" s="330">
        <f t="shared" si="3"/>
        <v>5298.9984308607791</v>
      </c>
      <c r="N200" s="330">
        <f t="shared" si="3"/>
        <v>604378.9038919732</v>
      </c>
      <c r="O200" s="330">
        <f t="shared" si="3"/>
        <v>332745.9644005755</v>
      </c>
      <c r="P200" s="330">
        <f t="shared" si="3"/>
        <v>1036326.0526308855</v>
      </c>
      <c r="Q200" s="425">
        <f t="shared" si="3"/>
        <v>36505.652837292037</v>
      </c>
      <c r="R200" s="425">
        <f t="shared" si="3"/>
        <v>2120.0971136074354</v>
      </c>
      <c r="S200" s="425">
        <f t="shared" si="3"/>
        <v>0</v>
      </c>
      <c r="T200" s="330">
        <f t="shared" si="3"/>
        <v>33839.103386170413</v>
      </c>
      <c r="U200" s="330">
        <f t="shared" si="3"/>
        <v>0</v>
      </c>
      <c r="V200" s="330">
        <f t="shared" si="3"/>
        <v>8451.4185101941748</v>
      </c>
      <c r="W200" s="330">
        <f t="shared" si="3"/>
        <v>0</v>
      </c>
      <c r="X200" s="330">
        <f t="shared" si="3"/>
        <v>286628.40604383906</v>
      </c>
      <c r="Y200" s="330">
        <f t="shared" si="3"/>
        <v>0</v>
      </c>
    </row>
    <row r="201" spans="4:43" x14ac:dyDescent="0.3">
      <c r="E201" s="32"/>
      <c r="F201" s="72" t="s">
        <v>249</v>
      </c>
      <c r="G201" s="72" t="s">
        <v>207</v>
      </c>
      <c r="J201" s="330">
        <f t="shared" ref="J201:Y201" si="4">SUM( J69, J78, J87, J96, J60 )</f>
        <v>2575955.0606651236</v>
      </c>
      <c r="K201" s="330">
        <f t="shared" si="4"/>
        <v>28839.73547014036</v>
      </c>
      <c r="L201" s="330">
        <f t="shared" si="4"/>
        <v>869128.73982065381</v>
      </c>
      <c r="M201" s="330">
        <f t="shared" si="4"/>
        <v>11694.133459357819</v>
      </c>
      <c r="N201" s="330">
        <f t="shared" si="4"/>
        <v>517202.58503365534</v>
      </c>
      <c r="O201" s="330">
        <f t="shared" si="4"/>
        <v>322723.35941874003</v>
      </c>
      <c r="P201" s="330">
        <f t="shared" si="4"/>
        <v>1145599.5729110963</v>
      </c>
      <c r="Q201" s="425">
        <f t="shared" si="4"/>
        <v>77551.244091183558</v>
      </c>
      <c r="R201" s="425">
        <f t="shared" si="4"/>
        <v>904.45814433756675</v>
      </c>
      <c r="S201" s="425">
        <f t="shared" si="4"/>
        <v>0</v>
      </c>
      <c r="T201" s="330">
        <f t="shared" si="4"/>
        <v>28793.328681545252</v>
      </c>
      <c r="U201" s="330">
        <f t="shared" si="4"/>
        <v>0</v>
      </c>
      <c r="V201" s="330">
        <f t="shared" si="4"/>
        <v>8337.0882839597562</v>
      </c>
      <c r="W201" s="330">
        <f t="shared" si="4"/>
        <v>0</v>
      </c>
      <c r="X201" s="330">
        <f t="shared" si="4"/>
        <v>235378.52205465923</v>
      </c>
      <c r="Y201" s="330">
        <f t="shared" si="4"/>
        <v>0</v>
      </c>
    </row>
    <row r="202" spans="4:43" x14ac:dyDescent="0.3">
      <c r="E202" s="32"/>
      <c r="F202" s="72" t="s">
        <v>212</v>
      </c>
      <c r="G202" s="72" t="s">
        <v>212</v>
      </c>
      <c r="J202" s="330">
        <f t="shared" ref="J202:Y202" si="5">SUM( J70, J79, J88, J97, J61 )</f>
        <v>1491636.9166571859</v>
      </c>
      <c r="K202" s="330">
        <f t="shared" si="5"/>
        <v>0</v>
      </c>
      <c r="L202" s="330">
        <f t="shared" si="5"/>
        <v>151146.83013333552</v>
      </c>
      <c r="M202" s="330">
        <f t="shared" si="5"/>
        <v>0</v>
      </c>
      <c r="N202" s="330">
        <f t="shared" si="5"/>
        <v>8177.5038192570391</v>
      </c>
      <c r="O202" s="330">
        <f t="shared" si="5"/>
        <v>1651.9050450176878</v>
      </c>
      <c r="P202" s="330">
        <f t="shared" si="5"/>
        <v>1143.7555354165991</v>
      </c>
      <c r="Q202" s="330">
        <f t="shared" si="5"/>
        <v>24.569263564139717</v>
      </c>
      <c r="R202" s="330">
        <f t="shared" si="5"/>
        <v>0</v>
      </c>
      <c r="S202" s="330">
        <f t="shared" si="5"/>
        <v>0</v>
      </c>
      <c r="T202" s="330">
        <f t="shared" si="5"/>
        <v>861.47352056885472</v>
      </c>
      <c r="U202" s="330">
        <f t="shared" si="5"/>
        <v>0</v>
      </c>
      <c r="V202" s="330">
        <f t="shared" si="5"/>
        <v>112.05985177756838</v>
      </c>
      <c r="W202" s="330">
        <f t="shared" si="5"/>
        <v>0</v>
      </c>
      <c r="X202" s="330">
        <f t="shared" si="5"/>
        <v>284.55473026719613</v>
      </c>
      <c r="Y202" s="330">
        <f t="shared" si="5"/>
        <v>0</v>
      </c>
    </row>
    <row r="203" spans="4:43" x14ac:dyDescent="0.3">
      <c r="E203" s="32"/>
      <c r="F203" s="72" t="s">
        <v>250</v>
      </c>
      <c r="G203" s="72" t="s">
        <v>251</v>
      </c>
      <c r="J203" s="79"/>
      <c r="K203" s="79"/>
      <c r="L203" s="79"/>
      <c r="M203" s="79"/>
      <c r="N203" s="330">
        <f t="shared" ref="N203:P205" si="6">SUM( N71, N80, N89, N98, N62 )</f>
        <v>756106.00000000012</v>
      </c>
      <c r="O203" s="330">
        <f t="shared" si="6"/>
        <v>388283.21783095319</v>
      </c>
      <c r="P203" s="330">
        <f t="shared" si="6"/>
        <v>942929.21419738396</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18170.029019437148</v>
      </c>
      <c r="O204" s="330">
        <f t="shared" si="6"/>
        <v>5537.6623588380098</v>
      </c>
      <c r="P204" s="330">
        <f t="shared" si="6"/>
        <v>3426.0653564780446</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127319.01421606644</v>
      </c>
      <c r="O205" s="100">
        <f t="shared" si="6"/>
        <v>63762.403158405185</v>
      </c>
      <c r="P205" s="100">
        <f t="shared" si="6"/>
        <v>127584.38810580684</v>
      </c>
      <c r="Q205" s="81"/>
      <c r="R205" s="81"/>
      <c r="S205" s="81"/>
      <c r="T205" s="100">
        <f>SUM( T73, T82, T91, T100, T64 )</f>
        <v>5860.34329429218</v>
      </c>
      <c r="U205" s="81"/>
      <c r="V205" s="100">
        <f>SUM( V73, V82, V91, V100, V64 )</f>
        <v>1979.3774685899657</v>
      </c>
      <c r="W205" s="81"/>
      <c r="X205" s="100">
        <f>SUM( X73, X82, X91, X100, X64 )</f>
        <v>9248.3392978234697</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2662.4957515671886</v>
      </c>
      <c r="K208" s="126">
        <f t="shared" si="7"/>
        <v>0</v>
      </c>
      <c r="L208" s="126">
        <f t="shared" si="7"/>
        <v>100.33259517211135</v>
      </c>
      <c r="M208" s="126">
        <f t="shared" si="7"/>
        <v>0</v>
      </c>
      <c r="N208" s="126">
        <f t="shared" si="7"/>
        <v>183.99125139313429</v>
      </c>
      <c r="O208" s="83"/>
      <c r="P208" s="83"/>
      <c r="Q208" s="126">
        <f t="shared" ref="Q208:R211" si="8">SUM( Q114, Q123, Q132, Q141, Q105 )</f>
        <v>1.377515987053852</v>
      </c>
      <c r="R208" s="126">
        <f t="shared" si="8"/>
        <v>5.1069600457863729</v>
      </c>
      <c r="S208" s="83"/>
      <c r="T208" s="126">
        <f>SUM( T114, T123, T132, T141, T105 )</f>
        <v>0</v>
      </c>
      <c r="U208" s="83"/>
      <c r="V208" s="83"/>
      <c r="W208" s="83"/>
      <c r="X208" s="83"/>
      <c r="Y208" s="83"/>
    </row>
    <row r="209" spans="5:27" x14ac:dyDescent="0.3">
      <c r="E209" s="32"/>
      <c r="F209" s="72" t="s">
        <v>248</v>
      </c>
      <c r="G209" s="72" t="s">
        <v>207</v>
      </c>
      <c r="J209" s="330">
        <f t="shared" si="7"/>
        <v>14385.094329467913</v>
      </c>
      <c r="K209" s="330">
        <f t="shared" si="7"/>
        <v>0</v>
      </c>
      <c r="L209" s="330">
        <f t="shared" si="7"/>
        <v>867.51557618223319</v>
      </c>
      <c r="M209" s="330">
        <f t="shared" si="7"/>
        <v>0</v>
      </c>
      <c r="N209" s="330">
        <f t="shared" si="7"/>
        <v>1297.8725770946521</v>
      </c>
      <c r="O209" s="79"/>
      <c r="P209" s="79"/>
      <c r="Q209" s="425">
        <f t="shared" si="8"/>
        <v>73.782528103874384</v>
      </c>
      <c r="R209" s="425">
        <f t="shared" si="8"/>
        <v>44.031921592651642</v>
      </c>
      <c r="S209" s="79"/>
      <c r="T209" s="330">
        <f>SUM( T115, T124, T133, T142, T106 )</f>
        <v>0</v>
      </c>
      <c r="U209" s="79"/>
      <c r="V209" s="79"/>
      <c r="W209" s="79"/>
      <c r="X209" s="79"/>
      <c r="Y209" s="79"/>
    </row>
    <row r="210" spans="5:27" x14ac:dyDescent="0.3">
      <c r="E210" s="32"/>
      <c r="F210" s="72" t="s">
        <v>249</v>
      </c>
      <c r="G210" s="72" t="s">
        <v>207</v>
      </c>
      <c r="J210" s="330">
        <f t="shared" si="7"/>
        <v>14990.768520839179</v>
      </c>
      <c r="K210" s="330">
        <f t="shared" si="7"/>
        <v>0</v>
      </c>
      <c r="L210" s="330">
        <f t="shared" si="7"/>
        <v>597.69540267848345</v>
      </c>
      <c r="M210" s="330">
        <f t="shared" si="7"/>
        <v>0</v>
      </c>
      <c r="N210" s="330">
        <f t="shared" si="7"/>
        <v>1320.1456326758248</v>
      </c>
      <c r="O210" s="79"/>
      <c r="P210" s="79"/>
      <c r="Q210" s="425">
        <f t="shared" si="8"/>
        <v>94.532347277294178</v>
      </c>
      <c r="R210" s="425">
        <f t="shared" si="8"/>
        <v>18.658964606730699</v>
      </c>
      <c r="S210" s="79"/>
      <c r="T210" s="330">
        <f>SUM( T116, T125, T134, T143, T107 )</f>
        <v>0</v>
      </c>
      <c r="U210" s="79"/>
      <c r="V210" s="79"/>
      <c r="W210" s="79"/>
      <c r="X210" s="79"/>
      <c r="Y210" s="79"/>
    </row>
    <row r="211" spans="5:27" x14ac:dyDescent="0.3">
      <c r="E211" s="32"/>
      <c r="F211" s="72" t="s">
        <v>212</v>
      </c>
      <c r="G211" s="72" t="s">
        <v>212</v>
      </c>
      <c r="J211" s="330">
        <f t="shared" si="7"/>
        <v>11395.451848846675</v>
      </c>
      <c r="K211" s="330">
        <f t="shared" si="7"/>
        <v>0</v>
      </c>
      <c r="L211" s="330">
        <f t="shared" si="7"/>
        <v>246.75544958396392</v>
      </c>
      <c r="M211" s="330">
        <f t="shared" si="7"/>
        <v>0</v>
      </c>
      <c r="N211" s="330">
        <f t="shared" si="7"/>
        <v>34.444621042666761</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3513.8902753122902</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30.989482107276224</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422.68577546465883</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7813.6855843248686</v>
      </c>
      <c r="K217" s="126">
        <f t="shared" si="9"/>
        <v>0</v>
      </c>
      <c r="L217" s="126">
        <f t="shared" si="9"/>
        <v>1006.5030080362653</v>
      </c>
      <c r="M217" s="126">
        <f t="shared" si="9"/>
        <v>0</v>
      </c>
      <c r="N217" s="126">
        <f t="shared" si="9"/>
        <v>5600.3757071024438</v>
      </c>
      <c r="O217" s="126">
        <f t="shared" si="9"/>
        <v>528.22107962985183</v>
      </c>
      <c r="P217" s="126">
        <f t="shared" si="9"/>
        <v>1727.7213691820164</v>
      </c>
      <c r="Q217" s="126">
        <f t="shared" si="9"/>
        <v>4.710732375202654</v>
      </c>
      <c r="R217" s="126">
        <f t="shared" si="9"/>
        <v>0</v>
      </c>
      <c r="S217" s="126">
        <f t="shared" si="9"/>
        <v>0</v>
      </c>
      <c r="T217" s="126">
        <f t="shared" si="9"/>
        <v>9.3175685451818087</v>
      </c>
      <c r="U217" s="83"/>
      <c r="V217" s="126">
        <f>SUM( V161, V170, V179, V188, V152 )</f>
        <v>0</v>
      </c>
      <c r="W217" s="83"/>
      <c r="X217" s="126">
        <f>SUM( X161, X170, X179, X188, X152 )</f>
        <v>0.28793605051586674</v>
      </c>
      <c r="Y217" s="83"/>
    </row>
    <row r="218" spans="5:27" x14ac:dyDescent="0.3">
      <c r="F218" s="72" t="s">
        <v>248</v>
      </c>
      <c r="G218" s="72" t="s">
        <v>207</v>
      </c>
      <c r="J218" s="330">
        <f t="shared" ref="J218:T218" si="10">SUM( J162, J171, J180, J189, J153 )</f>
        <v>42124.414068561608</v>
      </c>
      <c r="K218" s="330">
        <f t="shared" si="10"/>
        <v>0</v>
      </c>
      <c r="L218" s="330">
        <f t="shared" si="10"/>
        <v>7615.0232816878906</v>
      </c>
      <c r="M218" s="330">
        <f t="shared" si="10"/>
        <v>0</v>
      </c>
      <c r="N218" s="330">
        <f t="shared" si="10"/>
        <v>36243.385774233459</v>
      </c>
      <c r="O218" s="330">
        <f t="shared" si="10"/>
        <v>3085.6931036353135</v>
      </c>
      <c r="P218" s="330">
        <f t="shared" si="10"/>
        <v>11426.110124297909</v>
      </c>
      <c r="Q218" s="425">
        <f t="shared" si="10"/>
        <v>385.64429086836378</v>
      </c>
      <c r="R218" s="425">
        <f t="shared" si="10"/>
        <v>0</v>
      </c>
      <c r="S218" s="425">
        <f t="shared" si="10"/>
        <v>0</v>
      </c>
      <c r="T218" s="330">
        <f t="shared" si="10"/>
        <v>82.718185842262727</v>
      </c>
      <c r="U218" s="79"/>
      <c r="V218" s="330">
        <f>SUM( V162, V171, V180, V189, V153 )</f>
        <v>0</v>
      </c>
      <c r="W218" s="79"/>
      <c r="X218" s="330">
        <f>SUM( X162, X171, X180, X189, X153 )</f>
        <v>2.9395648662404099</v>
      </c>
      <c r="Y218" s="79"/>
    </row>
    <row r="219" spans="5:27" x14ac:dyDescent="0.3">
      <c r="F219" s="72" t="s">
        <v>249</v>
      </c>
      <c r="G219" s="72" t="s">
        <v>207</v>
      </c>
      <c r="J219" s="330">
        <f t="shared" ref="J219:T219" si="11">SUM( J163, J172, J181, J190, J154 )</f>
        <v>42739.742303409541</v>
      </c>
      <c r="K219" s="330">
        <f t="shared" si="11"/>
        <v>0</v>
      </c>
      <c r="L219" s="330">
        <f t="shared" si="11"/>
        <v>5318.8424747210993</v>
      </c>
      <c r="M219" s="330">
        <f t="shared" si="11"/>
        <v>0</v>
      </c>
      <c r="N219" s="330">
        <f t="shared" si="11"/>
        <v>33162.230515749921</v>
      </c>
      <c r="O219" s="330">
        <f t="shared" si="11"/>
        <v>3480.7415090658064</v>
      </c>
      <c r="P219" s="330">
        <f t="shared" si="11"/>
        <v>14568.907105045661</v>
      </c>
      <c r="Q219" s="425">
        <f t="shared" si="11"/>
        <v>494.29181511786317</v>
      </c>
      <c r="R219" s="425">
        <f t="shared" si="11"/>
        <v>0</v>
      </c>
      <c r="S219" s="425">
        <f t="shared" si="11"/>
        <v>0</v>
      </c>
      <c r="T219" s="330">
        <f t="shared" si="11"/>
        <v>316.59177029657002</v>
      </c>
      <c r="U219" s="79"/>
      <c r="V219" s="330">
        <f>SUM( V163, V172, V181, V190, V154 )</f>
        <v>0</v>
      </c>
      <c r="W219" s="79"/>
      <c r="X219" s="330">
        <f>SUM( X163, X172, X181, X190, X154 )</f>
        <v>2.0316824650938816</v>
      </c>
      <c r="Y219" s="79"/>
    </row>
    <row r="220" spans="5:27" x14ac:dyDescent="0.3">
      <c r="F220" s="72" t="s">
        <v>212</v>
      </c>
      <c r="G220" s="72" t="s">
        <v>212</v>
      </c>
      <c r="J220" s="330">
        <f t="shared" ref="J220:T220" si="12">SUM( J164, J173, J182, J191, J155 )</f>
        <v>33714.381027148498</v>
      </c>
      <c r="K220" s="330">
        <f t="shared" si="12"/>
        <v>0</v>
      </c>
      <c r="L220" s="330">
        <f t="shared" si="12"/>
        <v>1038.9920510241375</v>
      </c>
      <c r="M220" s="330">
        <f t="shared" si="12"/>
        <v>0</v>
      </c>
      <c r="N220" s="330">
        <f t="shared" si="12"/>
        <v>270.14849660438779</v>
      </c>
      <c r="O220" s="330">
        <f t="shared" si="12"/>
        <v>5.4782154927201754</v>
      </c>
      <c r="P220" s="330">
        <f t="shared" si="12"/>
        <v>10.956430985440345</v>
      </c>
      <c r="Q220" s="330">
        <f t="shared" si="12"/>
        <v>0.58390516788023794</v>
      </c>
      <c r="R220" s="330">
        <f t="shared" si="12"/>
        <v>0</v>
      </c>
      <c r="S220" s="330">
        <f t="shared" si="12"/>
        <v>0</v>
      </c>
      <c r="T220" s="330">
        <f t="shared" si="12"/>
        <v>4.912912803409677</v>
      </c>
      <c r="U220" s="79"/>
      <c r="V220" s="330">
        <f>SUM( V164, V173, V182, V191, V155 )</f>
        <v>0</v>
      </c>
      <c r="W220" s="79"/>
      <c r="X220" s="330">
        <f>SUM( X164, X173, X182, X191, X155 )</f>
        <v>0.24209302560552895</v>
      </c>
      <c r="Y220" s="79"/>
    </row>
    <row r="221" spans="5:27" x14ac:dyDescent="0.3">
      <c r="F221" s="72" t="s">
        <v>250</v>
      </c>
      <c r="G221" s="72" t="s">
        <v>251</v>
      </c>
      <c r="J221" s="79"/>
      <c r="K221" s="79"/>
      <c r="L221" s="79"/>
      <c r="M221" s="79"/>
      <c r="N221" s="330">
        <f t="shared" ref="N221:P223" si="13">SUM( N165, N174, N183, N192, N156 )</f>
        <v>52215.765949266861</v>
      </c>
      <c r="O221" s="330">
        <f t="shared" si="13"/>
        <v>3154.082569933641</v>
      </c>
      <c r="P221" s="330">
        <f t="shared" si="13"/>
        <v>13438.062603642587</v>
      </c>
      <c r="Q221" s="79"/>
      <c r="R221" s="79"/>
      <c r="S221" s="79"/>
      <c r="T221" s="79"/>
      <c r="U221" s="79"/>
      <c r="V221" s="79"/>
      <c r="W221" s="79"/>
      <c r="X221" s="79"/>
      <c r="Y221" s="79"/>
    </row>
    <row r="222" spans="5:27" x14ac:dyDescent="0.3">
      <c r="F222" s="72" t="s">
        <v>252</v>
      </c>
      <c r="G222" s="72" t="s">
        <v>251</v>
      </c>
      <c r="J222" s="79"/>
      <c r="K222" s="79"/>
      <c r="L222" s="79"/>
      <c r="M222" s="79"/>
      <c r="N222" s="330">
        <f t="shared" si="13"/>
        <v>248.07037657881625</v>
      </c>
      <c r="O222" s="330">
        <f t="shared" si="13"/>
        <v>0</v>
      </c>
      <c r="P222" s="330">
        <f t="shared" si="13"/>
        <v>0</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3545.5097154606988</v>
      </c>
      <c r="O223" s="100">
        <f t="shared" si="13"/>
        <v>534.79656800700491</v>
      </c>
      <c r="P223" s="100">
        <f t="shared" si="13"/>
        <v>582.53356186336214</v>
      </c>
      <c r="Q223" s="81"/>
      <c r="R223" s="81"/>
      <c r="S223" s="81"/>
      <c r="T223" s="100">
        <f>SUM( T167, T176, T185, T194, T158 )</f>
        <v>2.1782595025625353</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394056.97768915538</v>
      </c>
      <c r="K231" s="98">
        <f t="shared" si="14"/>
        <v>165.19190239670218</v>
      </c>
      <c r="L231" s="98">
        <f t="shared" si="14"/>
        <v>131960.44628140054</v>
      </c>
      <c r="M231" s="98">
        <f t="shared" si="14"/>
        <v>156.53988635874572</v>
      </c>
      <c r="N231" s="98">
        <f t="shared" si="14"/>
        <v>84180.839854684978</v>
      </c>
      <c r="O231" s="98">
        <f t="shared" si="14"/>
        <v>45101.722418260309</v>
      </c>
      <c r="P231" s="98">
        <f t="shared" si="14"/>
        <v>144314.20924751513</v>
      </c>
      <c r="Q231" s="98">
        <f t="shared" si="14"/>
        <v>3172.0310077756471</v>
      </c>
      <c r="R231" s="98">
        <f t="shared" si="14"/>
        <v>208.43531675970064</v>
      </c>
      <c r="S231" s="98">
        <f t="shared" si="14"/>
        <v>0</v>
      </c>
      <c r="T231" s="98">
        <f t="shared" si="14"/>
        <v>3867.6374675826655</v>
      </c>
      <c r="U231" s="98">
        <f t="shared" si="14"/>
        <v>0</v>
      </c>
      <c r="V231" s="98">
        <f t="shared" si="14"/>
        <v>1009.8765349498661</v>
      </c>
      <c r="W231" s="98">
        <f t="shared" si="14"/>
        <v>0</v>
      </c>
      <c r="X231" s="98">
        <f t="shared" si="14"/>
        <v>33792.907334020259</v>
      </c>
      <c r="Y231" s="98">
        <f t="shared" si="14"/>
        <v>0</v>
      </c>
      <c r="AQ231" s="3"/>
    </row>
    <row r="232" spans="3:43" x14ac:dyDescent="0.3">
      <c r="F232" s="28" t="s">
        <v>448</v>
      </c>
      <c r="G232" s="28" t="s">
        <v>207</v>
      </c>
      <c r="J232" s="98">
        <f t="shared" ref="J232:Y232" si="15">J$208</f>
        <v>2662.4957515671886</v>
      </c>
      <c r="K232" s="98">
        <f t="shared" si="15"/>
        <v>0</v>
      </c>
      <c r="L232" s="98">
        <f t="shared" si="15"/>
        <v>100.33259517211135</v>
      </c>
      <c r="M232" s="98">
        <f t="shared" si="15"/>
        <v>0</v>
      </c>
      <c r="N232" s="98">
        <f t="shared" si="15"/>
        <v>183.99125139313429</v>
      </c>
      <c r="O232" s="98">
        <f t="shared" si="15"/>
        <v>0</v>
      </c>
      <c r="P232" s="98">
        <f t="shared" si="15"/>
        <v>0</v>
      </c>
      <c r="Q232" s="98">
        <f t="shared" si="15"/>
        <v>1.377515987053852</v>
      </c>
      <c r="R232" s="98">
        <f t="shared" si="15"/>
        <v>5.1069600457863729</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7813.6855843248686</v>
      </c>
      <c r="K233" s="98">
        <f t="shared" si="16"/>
        <v>0</v>
      </c>
      <c r="L233" s="98">
        <f t="shared" si="16"/>
        <v>1006.5030080362653</v>
      </c>
      <c r="M233" s="98">
        <f t="shared" si="16"/>
        <v>0</v>
      </c>
      <c r="N233" s="98">
        <f t="shared" si="16"/>
        <v>5600.3757071024438</v>
      </c>
      <c r="O233" s="98">
        <f t="shared" si="16"/>
        <v>528.22107962985183</v>
      </c>
      <c r="P233" s="98">
        <f t="shared" si="16"/>
        <v>1727.7213691820164</v>
      </c>
      <c r="Q233" s="98">
        <f t="shared" si="16"/>
        <v>4.710732375202654</v>
      </c>
      <c r="R233" s="98">
        <f t="shared" si="16"/>
        <v>0</v>
      </c>
      <c r="S233" s="98">
        <f t="shared" si="16"/>
        <v>0</v>
      </c>
      <c r="T233" s="98">
        <f t="shared" si="16"/>
        <v>9.3175685451818087</v>
      </c>
      <c r="U233" s="98">
        <f t="shared" si="16"/>
        <v>0</v>
      </c>
      <c r="V233" s="98">
        <f t="shared" si="16"/>
        <v>0</v>
      </c>
      <c r="W233" s="98">
        <f t="shared" si="16"/>
        <v>0</v>
      </c>
      <c r="X233" s="98">
        <f t="shared" si="16"/>
        <v>0.28793605051586674</v>
      </c>
      <c r="Y233" s="98">
        <f t="shared" si="16"/>
        <v>0</v>
      </c>
      <c r="AQ233" s="3"/>
    </row>
    <row r="234" spans="3:43" x14ac:dyDescent="0.3">
      <c r="F234" s="28" t="s">
        <v>450</v>
      </c>
      <c r="G234" s="28" t="s">
        <v>167</v>
      </c>
      <c r="J234" s="332">
        <f>IF(J$39, J$45, J$34)</f>
        <v>0.38089985064832788</v>
      </c>
      <c r="K234" s="332">
        <f t="shared" ref="K234:Y234" si="17">IF(K$39, K$45, K$34)</f>
        <v>0.38089985064832788</v>
      </c>
      <c r="L234" s="332">
        <f t="shared" si="17"/>
        <v>0.38089985064832788</v>
      </c>
      <c r="M234" s="332">
        <f t="shared" si="17"/>
        <v>0.38089985064832788</v>
      </c>
      <c r="N234" s="332">
        <f t="shared" si="17"/>
        <v>0.38089985064832788</v>
      </c>
      <c r="O234" s="332">
        <f t="shared" si="17"/>
        <v>0</v>
      </c>
      <c r="P234" s="332">
        <f t="shared" si="17"/>
        <v>0</v>
      </c>
      <c r="Q234" s="332">
        <f t="shared" si="17"/>
        <v>0.38089985064832788</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0.57501376699133966</v>
      </c>
      <c r="K235" s="332">
        <f t="shared" ref="K235:Y235" si="18">IF(K$39, K$45, K$35)</f>
        <v>0.57501376699133966</v>
      </c>
      <c r="L235" s="332">
        <f t="shared" si="18"/>
        <v>0.57501376699133966</v>
      </c>
      <c r="M235" s="332">
        <f t="shared" si="18"/>
        <v>0.57501376699133966</v>
      </c>
      <c r="N235" s="332">
        <f t="shared" si="18"/>
        <v>0.57501376699133966</v>
      </c>
      <c r="O235" s="332">
        <f t="shared" si="18"/>
        <v>0.30026377203686194</v>
      </c>
      <c r="P235" s="332">
        <f t="shared" si="18"/>
        <v>0.17052516507035737</v>
      </c>
      <c r="Q235" s="332">
        <f t="shared" si="18"/>
        <v>0.57501376699133966</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1648.351517443439</v>
      </c>
      <c r="K236" s="98">
        <f t="shared" si="19"/>
        <v>0</v>
      </c>
      <c r="L236" s="98">
        <f t="shared" si="19"/>
        <v>62.115924655895</v>
      </c>
      <c r="M236" s="98">
        <f t="shared" si="19"/>
        <v>0</v>
      </c>
      <c r="N236" s="98">
        <f t="shared" si="19"/>
        <v>113.90901121689049</v>
      </c>
      <c r="O236" s="98">
        <f t="shared" si="19"/>
        <v>0</v>
      </c>
      <c r="P236" s="98">
        <f t="shared" si="19"/>
        <v>0</v>
      </c>
      <c r="Q236" s="98">
        <f t="shared" si="19"/>
        <v>0.8528203533193558</v>
      </c>
      <c r="R236" s="98">
        <f t="shared" si="19"/>
        <v>5.1069600457863729</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3320.7088023962988</v>
      </c>
      <c r="K237" s="100">
        <f t="shared" si="20"/>
        <v>0</v>
      </c>
      <c r="L237" s="100">
        <f t="shared" si="20"/>
        <v>427.7499218972178</v>
      </c>
      <c r="M237" s="100">
        <f t="shared" si="20"/>
        <v>0</v>
      </c>
      <c r="N237" s="100">
        <f t="shared" si="20"/>
        <v>2380.08257519468</v>
      </c>
      <c r="O237" s="100">
        <f t="shared" si="20"/>
        <v>369.6154257908089</v>
      </c>
      <c r="P237" s="100">
        <f t="shared" si="20"/>
        <v>1433.1013975066692</v>
      </c>
      <c r="Q237" s="100">
        <f t="shared" si="20"/>
        <v>2.0019964068493152</v>
      </c>
      <c r="R237" s="100">
        <f t="shared" si="20"/>
        <v>0</v>
      </c>
      <c r="S237" s="100">
        <f t="shared" si="20"/>
        <v>0</v>
      </c>
      <c r="T237" s="100">
        <f t="shared" si="20"/>
        <v>9.3175685451818087</v>
      </c>
      <c r="U237" s="100">
        <f t="shared" si="20"/>
        <v>0</v>
      </c>
      <c r="V237" s="100">
        <f t="shared" si="20"/>
        <v>0</v>
      </c>
      <c r="W237" s="100">
        <f t="shared" si="20"/>
        <v>0</v>
      </c>
      <c r="X237" s="100">
        <f t="shared" si="20"/>
        <v>0.28793605051586674</v>
      </c>
      <c r="Y237" s="100">
        <f t="shared" si="20"/>
        <v>0</v>
      </c>
      <c r="AQ237" s="3"/>
    </row>
    <row r="238" spans="3:43" x14ac:dyDescent="0.3">
      <c r="F238" s="28" t="s">
        <v>454</v>
      </c>
      <c r="G238" s="28" t="s">
        <v>207</v>
      </c>
      <c r="J238" s="121">
        <f t="shared" ref="J238:Y238" si="21">J231 + J236 + J237</f>
        <v>399026.03800899512</v>
      </c>
      <c r="K238" s="121">
        <f t="shared" si="21"/>
        <v>165.19190239670218</v>
      </c>
      <c r="L238" s="121">
        <f t="shared" si="21"/>
        <v>132450.31212795366</v>
      </c>
      <c r="M238" s="121">
        <f t="shared" si="21"/>
        <v>156.53988635874572</v>
      </c>
      <c r="N238" s="121">
        <f t="shared" si="21"/>
        <v>86674.831441096554</v>
      </c>
      <c r="O238" s="121">
        <f t="shared" si="21"/>
        <v>45471.337844051115</v>
      </c>
      <c r="P238" s="121">
        <f t="shared" si="21"/>
        <v>145747.31064502179</v>
      </c>
      <c r="Q238" s="121">
        <f t="shared" si="21"/>
        <v>3174.8858245358156</v>
      </c>
      <c r="R238" s="121">
        <f t="shared" si="21"/>
        <v>213.54227680548701</v>
      </c>
      <c r="S238" s="121">
        <f t="shared" si="21"/>
        <v>0</v>
      </c>
      <c r="T238" s="121">
        <f t="shared" si="21"/>
        <v>3876.9550361278475</v>
      </c>
      <c r="U238" s="121">
        <f t="shared" si="21"/>
        <v>0</v>
      </c>
      <c r="V238" s="121">
        <f t="shared" si="21"/>
        <v>1009.8765349498661</v>
      </c>
      <c r="W238" s="121">
        <f t="shared" si="21"/>
        <v>0</v>
      </c>
      <c r="X238" s="121">
        <f t="shared" si="21"/>
        <v>33793.195270070777</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2272941.7109962343</v>
      </c>
      <c r="K242" s="98">
        <f t="shared" si="22"/>
        <v>8808.4021048564955</v>
      </c>
      <c r="L242" s="98">
        <f t="shared" si="22"/>
        <v>1086663.0822726139</v>
      </c>
      <c r="M242" s="98">
        <f t="shared" si="22"/>
        <v>5298.9984308607791</v>
      </c>
      <c r="N242" s="98">
        <f t="shared" si="22"/>
        <v>604378.9038919732</v>
      </c>
      <c r="O242" s="98">
        <f t="shared" si="22"/>
        <v>332745.9644005755</v>
      </c>
      <c r="P242" s="98">
        <f t="shared" si="22"/>
        <v>1036326.0526308855</v>
      </c>
      <c r="Q242" s="98">
        <f t="shared" si="22"/>
        <v>36505.652837292037</v>
      </c>
      <c r="R242" s="98">
        <f t="shared" si="22"/>
        <v>2120.0971136074354</v>
      </c>
      <c r="S242" s="98">
        <f t="shared" si="22"/>
        <v>0</v>
      </c>
      <c r="T242" s="98">
        <f t="shared" si="22"/>
        <v>33839.103386170413</v>
      </c>
      <c r="U242" s="98">
        <f t="shared" si="22"/>
        <v>0</v>
      </c>
      <c r="V242" s="98">
        <f t="shared" si="22"/>
        <v>8451.4185101941748</v>
      </c>
      <c r="W242" s="98">
        <f t="shared" si="22"/>
        <v>0</v>
      </c>
      <c r="X242" s="98">
        <f t="shared" si="22"/>
        <v>286628.40604383906</v>
      </c>
      <c r="Y242" s="98">
        <f t="shared" si="22"/>
        <v>0</v>
      </c>
      <c r="AQ242" s="3"/>
    </row>
    <row r="243" spans="5:43" x14ac:dyDescent="0.3">
      <c r="F243" s="28" t="s">
        <v>448</v>
      </c>
      <c r="G243" s="28" t="s">
        <v>207</v>
      </c>
      <c r="J243" s="98">
        <f t="shared" ref="J243:Y243" si="23">J$209</f>
        <v>14385.094329467913</v>
      </c>
      <c r="K243" s="98">
        <f t="shared" si="23"/>
        <v>0</v>
      </c>
      <c r="L243" s="98">
        <f t="shared" si="23"/>
        <v>867.51557618223319</v>
      </c>
      <c r="M243" s="98">
        <f t="shared" si="23"/>
        <v>0</v>
      </c>
      <c r="N243" s="98">
        <f t="shared" si="23"/>
        <v>1297.8725770946521</v>
      </c>
      <c r="O243" s="98">
        <f t="shared" si="23"/>
        <v>0</v>
      </c>
      <c r="P243" s="98">
        <f t="shared" si="23"/>
        <v>0</v>
      </c>
      <c r="Q243" s="98">
        <f t="shared" si="23"/>
        <v>73.782528103874384</v>
      </c>
      <c r="R243" s="98">
        <f t="shared" si="23"/>
        <v>44.031921592651642</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42124.414068561608</v>
      </c>
      <c r="K244" s="98">
        <f t="shared" si="24"/>
        <v>0</v>
      </c>
      <c r="L244" s="98">
        <f t="shared" si="24"/>
        <v>7615.0232816878906</v>
      </c>
      <c r="M244" s="98">
        <f t="shared" si="24"/>
        <v>0</v>
      </c>
      <c r="N244" s="98">
        <f t="shared" si="24"/>
        <v>36243.385774233459</v>
      </c>
      <c r="O244" s="98">
        <f t="shared" si="24"/>
        <v>3085.6931036353135</v>
      </c>
      <c r="P244" s="98">
        <f t="shared" si="24"/>
        <v>11426.110124297909</v>
      </c>
      <c r="Q244" s="98">
        <f t="shared" si="24"/>
        <v>385.64429086836378</v>
      </c>
      <c r="R244" s="98">
        <f t="shared" si="24"/>
        <v>0</v>
      </c>
      <c r="S244" s="98">
        <f t="shared" si="24"/>
        <v>0</v>
      </c>
      <c r="T244" s="98">
        <f t="shared" si="24"/>
        <v>82.718185842262727</v>
      </c>
      <c r="U244" s="98">
        <f t="shared" si="24"/>
        <v>0</v>
      </c>
      <c r="V244" s="98">
        <f t="shared" si="24"/>
        <v>0</v>
      </c>
      <c r="W244" s="98">
        <f t="shared" si="24"/>
        <v>0</v>
      </c>
      <c r="X244" s="98">
        <f t="shared" si="24"/>
        <v>2.9395648662404099</v>
      </c>
      <c r="Y244" s="98">
        <f t="shared" si="24"/>
        <v>0</v>
      </c>
      <c r="AQ244" s="3"/>
    </row>
    <row r="245" spans="5:43" x14ac:dyDescent="0.3">
      <c r="F245" s="28" t="s">
        <v>450</v>
      </c>
      <c r="G245" s="28" t="s">
        <v>167</v>
      </c>
      <c r="J245" s="385">
        <f t="shared" ref="J245:Y245" si="25">IF(J$39, J$45, J$34)</f>
        <v>0.38089985064832788</v>
      </c>
      <c r="K245" s="385">
        <f t="shared" si="25"/>
        <v>0.38089985064832788</v>
      </c>
      <c r="L245" s="385">
        <f t="shared" si="25"/>
        <v>0.38089985064832788</v>
      </c>
      <c r="M245" s="385">
        <f t="shared" si="25"/>
        <v>0.38089985064832788</v>
      </c>
      <c r="N245" s="385">
        <f t="shared" si="25"/>
        <v>0.38089985064832788</v>
      </c>
      <c r="O245" s="385">
        <f t="shared" si="25"/>
        <v>0</v>
      </c>
      <c r="P245" s="385">
        <f t="shared" si="25"/>
        <v>0</v>
      </c>
      <c r="Q245" s="385">
        <f t="shared" si="25"/>
        <v>0.38089985064832788</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0.57501376699133966</v>
      </c>
      <c r="K246" s="385">
        <f t="shared" si="26"/>
        <v>0.57501376699133966</v>
      </c>
      <c r="L246" s="385">
        <f t="shared" si="26"/>
        <v>0.57501376699133966</v>
      </c>
      <c r="M246" s="385">
        <f t="shared" si="26"/>
        <v>0.57501376699133966</v>
      </c>
      <c r="N246" s="385">
        <f t="shared" si="26"/>
        <v>0.57501376699133966</v>
      </c>
      <c r="O246" s="385">
        <f t="shared" si="26"/>
        <v>0.30026377203686194</v>
      </c>
      <c r="P246" s="385">
        <f t="shared" si="26"/>
        <v>0.17052516507035737</v>
      </c>
      <c r="Q246" s="385">
        <f t="shared" si="26"/>
        <v>0.57501376699133966</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8905.8140478114765</v>
      </c>
      <c r="K247" s="98">
        <f t="shared" si="27"/>
        <v>0</v>
      </c>
      <c r="L247" s="98">
        <f t="shared" si="27"/>
        <v>537.07902277932249</v>
      </c>
      <c r="M247" s="98">
        <f t="shared" si="27"/>
        <v>0</v>
      </c>
      <c r="N247" s="98">
        <f t="shared" si="27"/>
        <v>803.51310631873866</v>
      </c>
      <c r="O247" s="98">
        <f t="shared" si="27"/>
        <v>0</v>
      </c>
      <c r="P247" s="98">
        <f t="shared" si="27"/>
        <v>0</v>
      </c>
      <c r="Q247" s="98">
        <f t="shared" si="27"/>
        <v>45.678774168652573</v>
      </c>
      <c r="R247" s="98">
        <f t="shared" si="27"/>
        <v>44.031921592651642</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17902.296052695012</v>
      </c>
      <c r="K248" s="100">
        <f t="shared" si="28"/>
        <v>0</v>
      </c>
      <c r="L248" s="100">
        <f t="shared" si="28"/>
        <v>3236.2800587577831</v>
      </c>
      <c r="M248" s="100">
        <f t="shared" si="28"/>
        <v>0</v>
      </c>
      <c r="N248" s="100">
        <f t="shared" si="28"/>
        <v>15402.939991671146</v>
      </c>
      <c r="O248" s="100">
        <f t="shared" si="28"/>
        <v>2159.1712529896427</v>
      </c>
      <c r="P248" s="100">
        <f t="shared" si="28"/>
        <v>9477.6708092399258</v>
      </c>
      <c r="Q248" s="100">
        <f t="shared" si="28"/>
        <v>163.89351445744202</v>
      </c>
      <c r="R248" s="100">
        <f t="shared" si="28"/>
        <v>0</v>
      </c>
      <c r="S248" s="100">
        <f t="shared" si="28"/>
        <v>0</v>
      </c>
      <c r="T248" s="100">
        <f t="shared" si="28"/>
        <v>82.718185842262727</v>
      </c>
      <c r="U248" s="100">
        <f t="shared" si="28"/>
        <v>0</v>
      </c>
      <c r="V248" s="100">
        <f t="shared" si="28"/>
        <v>0</v>
      </c>
      <c r="W248" s="100">
        <f t="shared" si="28"/>
        <v>0</v>
      </c>
      <c r="X248" s="100">
        <f t="shared" si="28"/>
        <v>2.9395648662404099</v>
      </c>
      <c r="Y248" s="100">
        <f t="shared" si="28"/>
        <v>0</v>
      </c>
      <c r="AQ248" s="3"/>
    </row>
    <row r="249" spans="5:43" x14ac:dyDescent="0.3">
      <c r="F249" s="28" t="s">
        <v>454</v>
      </c>
      <c r="G249" s="28" t="s">
        <v>207</v>
      </c>
      <c r="J249" s="121">
        <f t="shared" ref="J249:Y249" si="29">J242 + J247 + J248</f>
        <v>2299749.8210967407</v>
      </c>
      <c r="K249" s="121">
        <f t="shared" si="29"/>
        <v>8808.4021048564955</v>
      </c>
      <c r="L249" s="121">
        <f t="shared" si="29"/>
        <v>1090436.4413541511</v>
      </c>
      <c r="M249" s="121">
        <f t="shared" si="29"/>
        <v>5298.9984308607791</v>
      </c>
      <c r="N249" s="121">
        <f t="shared" si="29"/>
        <v>620585.3569899631</v>
      </c>
      <c r="O249" s="121">
        <f t="shared" si="29"/>
        <v>334905.13565356511</v>
      </c>
      <c r="P249" s="121">
        <f t="shared" si="29"/>
        <v>1045803.7234401255</v>
      </c>
      <c r="Q249" s="121">
        <f t="shared" si="29"/>
        <v>36715.225125918128</v>
      </c>
      <c r="R249" s="121">
        <f t="shared" si="29"/>
        <v>2164.1290352000869</v>
      </c>
      <c r="S249" s="121">
        <f t="shared" si="29"/>
        <v>0</v>
      </c>
      <c r="T249" s="121">
        <f t="shared" si="29"/>
        <v>33921.821572012675</v>
      </c>
      <c r="U249" s="121">
        <f t="shared" si="29"/>
        <v>0</v>
      </c>
      <c r="V249" s="121">
        <f t="shared" si="29"/>
        <v>8451.4185101941748</v>
      </c>
      <c r="W249" s="121">
        <f t="shared" si="29"/>
        <v>0</v>
      </c>
      <c r="X249" s="121">
        <f t="shared" si="29"/>
        <v>286631.34560870531</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2575955.0606651236</v>
      </c>
      <c r="K253" s="98">
        <f t="shared" si="30"/>
        <v>28839.73547014036</v>
      </c>
      <c r="L253" s="98">
        <f t="shared" si="30"/>
        <v>869128.73982065381</v>
      </c>
      <c r="M253" s="98">
        <f t="shared" si="30"/>
        <v>11694.133459357819</v>
      </c>
      <c r="N253" s="98">
        <f t="shared" si="30"/>
        <v>517202.58503365534</v>
      </c>
      <c r="O253" s="98">
        <f t="shared" si="30"/>
        <v>322723.35941874003</v>
      </c>
      <c r="P253" s="98">
        <f t="shared" si="30"/>
        <v>1145599.5729110963</v>
      </c>
      <c r="Q253" s="98">
        <f t="shared" si="30"/>
        <v>77551.244091183558</v>
      </c>
      <c r="R253" s="98">
        <f t="shared" si="30"/>
        <v>904.45814433756675</v>
      </c>
      <c r="S253" s="98">
        <f t="shared" si="30"/>
        <v>0</v>
      </c>
      <c r="T253" s="98">
        <f t="shared" si="30"/>
        <v>28793.328681545252</v>
      </c>
      <c r="U253" s="98">
        <f t="shared" si="30"/>
        <v>0</v>
      </c>
      <c r="V253" s="98">
        <f t="shared" si="30"/>
        <v>8337.0882839597562</v>
      </c>
      <c r="W253" s="98">
        <f t="shared" si="30"/>
        <v>0</v>
      </c>
      <c r="X253" s="98">
        <f t="shared" si="30"/>
        <v>235378.52205465923</v>
      </c>
      <c r="Y253" s="98">
        <f t="shared" si="30"/>
        <v>0</v>
      </c>
      <c r="AQ253" s="3"/>
    </row>
    <row r="254" spans="5:43" x14ac:dyDescent="0.3">
      <c r="F254" s="28" t="s">
        <v>448</v>
      </c>
      <c r="G254" s="28" t="s">
        <v>207</v>
      </c>
      <c r="J254" s="98">
        <f t="shared" ref="J254:Y254" si="31">J$210</f>
        <v>14990.768520839179</v>
      </c>
      <c r="K254" s="98">
        <f t="shared" si="31"/>
        <v>0</v>
      </c>
      <c r="L254" s="98">
        <f t="shared" si="31"/>
        <v>597.69540267848345</v>
      </c>
      <c r="M254" s="98">
        <f t="shared" si="31"/>
        <v>0</v>
      </c>
      <c r="N254" s="98">
        <f t="shared" si="31"/>
        <v>1320.1456326758248</v>
      </c>
      <c r="O254" s="98">
        <f t="shared" si="31"/>
        <v>0</v>
      </c>
      <c r="P254" s="98">
        <f t="shared" si="31"/>
        <v>0</v>
      </c>
      <c r="Q254" s="98">
        <f t="shared" si="31"/>
        <v>94.532347277294178</v>
      </c>
      <c r="R254" s="98">
        <f t="shared" si="31"/>
        <v>18.658964606730699</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42739.742303409541</v>
      </c>
      <c r="K255" s="98">
        <f t="shared" si="32"/>
        <v>0</v>
      </c>
      <c r="L255" s="98">
        <f t="shared" si="32"/>
        <v>5318.8424747210993</v>
      </c>
      <c r="M255" s="98">
        <f t="shared" si="32"/>
        <v>0</v>
      </c>
      <c r="N255" s="98">
        <f t="shared" si="32"/>
        <v>33162.230515749921</v>
      </c>
      <c r="O255" s="98">
        <f t="shared" si="32"/>
        <v>3480.7415090658064</v>
      </c>
      <c r="P255" s="98">
        <f t="shared" si="32"/>
        <v>14568.907105045661</v>
      </c>
      <c r="Q255" s="98">
        <f t="shared" si="32"/>
        <v>494.29181511786317</v>
      </c>
      <c r="R255" s="98">
        <f t="shared" si="32"/>
        <v>0</v>
      </c>
      <c r="S255" s="98">
        <f t="shared" si="32"/>
        <v>0</v>
      </c>
      <c r="T255" s="98">
        <f t="shared" si="32"/>
        <v>316.59177029657002</v>
      </c>
      <c r="U255" s="98">
        <f t="shared" si="32"/>
        <v>0</v>
      </c>
      <c r="V255" s="98">
        <f t="shared" si="32"/>
        <v>0</v>
      </c>
      <c r="W255" s="98">
        <f t="shared" si="32"/>
        <v>0</v>
      </c>
      <c r="X255" s="98">
        <f t="shared" si="32"/>
        <v>2.0316824650938816</v>
      </c>
      <c r="Y255" s="98">
        <f t="shared" si="32"/>
        <v>0</v>
      </c>
      <c r="AQ255" s="3"/>
    </row>
    <row r="256" spans="5:43" x14ac:dyDescent="0.3">
      <c r="F256" s="28" t="s">
        <v>450</v>
      </c>
      <c r="G256" s="28" t="s">
        <v>167</v>
      </c>
      <c r="J256" s="385">
        <f t="shared" ref="J256:Y256" si="33">IF(J$39, J$45, J$34)</f>
        <v>0.38089985064832788</v>
      </c>
      <c r="K256" s="385">
        <f t="shared" si="33"/>
        <v>0.38089985064832788</v>
      </c>
      <c r="L256" s="385">
        <f t="shared" si="33"/>
        <v>0.38089985064832788</v>
      </c>
      <c r="M256" s="385">
        <f t="shared" si="33"/>
        <v>0.38089985064832788</v>
      </c>
      <c r="N256" s="385">
        <f t="shared" si="33"/>
        <v>0.38089985064832788</v>
      </c>
      <c r="O256" s="385">
        <f t="shared" si="33"/>
        <v>0</v>
      </c>
      <c r="P256" s="385">
        <f t="shared" si="33"/>
        <v>0</v>
      </c>
      <c r="Q256" s="385">
        <f t="shared" si="33"/>
        <v>0.38089985064832788</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0.57501376699133966</v>
      </c>
      <c r="K257" s="385">
        <f t="shared" si="34"/>
        <v>0.57501376699133966</v>
      </c>
      <c r="L257" s="385">
        <f t="shared" si="34"/>
        <v>0.57501376699133966</v>
      </c>
      <c r="M257" s="385">
        <f t="shared" si="34"/>
        <v>0.57501376699133966</v>
      </c>
      <c r="N257" s="385">
        <f t="shared" si="34"/>
        <v>0.57501376699133966</v>
      </c>
      <c r="O257" s="385">
        <f t="shared" si="34"/>
        <v>0.30026377203686194</v>
      </c>
      <c r="P257" s="385">
        <f t="shared" si="34"/>
        <v>0.17052516507035737</v>
      </c>
      <c r="Q257" s="385">
        <f t="shared" si="34"/>
        <v>0.57501376699133966</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9280.7870301478815</v>
      </c>
      <c r="K258" s="98">
        <f t="shared" si="35"/>
        <v>0</v>
      </c>
      <c r="L258" s="98">
        <f t="shared" si="35"/>
        <v>370.03331306505692</v>
      </c>
      <c r="M258" s="98">
        <f t="shared" si="35"/>
        <v>0</v>
      </c>
      <c r="N258" s="98">
        <f t="shared" si="35"/>
        <v>817.30235835556084</v>
      </c>
      <c r="O258" s="98">
        <f t="shared" si="35"/>
        <v>0</v>
      </c>
      <c r="P258" s="98">
        <f t="shared" si="35"/>
        <v>0</v>
      </c>
      <c r="Q258" s="98">
        <f t="shared" si="35"/>
        <v>58.524990317936961</v>
      </c>
      <c r="R258" s="98">
        <f t="shared" si="35"/>
        <v>18.658964606730699</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18163.802081286904</v>
      </c>
      <c r="K259" s="100">
        <f t="shared" si="36"/>
        <v>0</v>
      </c>
      <c r="L259" s="100">
        <f t="shared" si="36"/>
        <v>2260.4348272981806</v>
      </c>
      <c r="M259" s="100">
        <f t="shared" si="36"/>
        <v>0</v>
      </c>
      <c r="N259" s="100">
        <f t="shared" si="36"/>
        <v>14093.491425053402</v>
      </c>
      <c r="O259" s="100">
        <f t="shared" si="36"/>
        <v>2435.6009340684282</v>
      </c>
      <c r="P259" s="100">
        <f t="shared" si="36"/>
        <v>12084.541816063047</v>
      </c>
      <c r="Q259" s="100">
        <f t="shared" si="36"/>
        <v>210.06721651395387</v>
      </c>
      <c r="R259" s="100">
        <f t="shared" si="36"/>
        <v>0</v>
      </c>
      <c r="S259" s="100">
        <f t="shared" si="36"/>
        <v>0</v>
      </c>
      <c r="T259" s="100">
        <f t="shared" si="36"/>
        <v>316.59177029657002</v>
      </c>
      <c r="U259" s="100">
        <f t="shared" si="36"/>
        <v>0</v>
      </c>
      <c r="V259" s="100">
        <f t="shared" si="36"/>
        <v>0</v>
      </c>
      <c r="W259" s="100">
        <f t="shared" si="36"/>
        <v>0</v>
      </c>
      <c r="X259" s="100">
        <f t="shared" si="36"/>
        <v>2.0316824650938816</v>
      </c>
      <c r="Y259" s="100">
        <f t="shared" si="36"/>
        <v>0</v>
      </c>
      <c r="AQ259" s="3"/>
    </row>
    <row r="260" spans="5:43" x14ac:dyDescent="0.3">
      <c r="F260" s="28" t="s">
        <v>454</v>
      </c>
      <c r="G260" s="28" t="s">
        <v>207</v>
      </c>
      <c r="J260" s="121">
        <f t="shared" ref="J260:Y260" si="37">J253 + J258 + J259</f>
        <v>2603399.6497765584</v>
      </c>
      <c r="K260" s="121">
        <f t="shared" si="37"/>
        <v>28839.73547014036</v>
      </c>
      <c r="L260" s="121">
        <f t="shared" si="37"/>
        <v>871759.20796101703</v>
      </c>
      <c r="M260" s="121">
        <f t="shared" si="37"/>
        <v>11694.133459357819</v>
      </c>
      <c r="N260" s="121">
        <f t="shared" si="37"/>
        <v>532113.37881706434</v>
      </c>
      <c r="O260" s="121">
        <f t="shared" si="37"/>
        <v>325158.96035280847</v>
      </c>
      <c r="P260" s="121">
        <f t="shared" si="37"/>
        <v>1157684.1147271593</v>
      </c>
      <c r="Q260" s="121">
        <f t="shared" si="37"/>
        <v>77819.836298015449</v>
      </c>
      <c r="R260" s="121">
        <f t="shared" si="37"/>
        <v>923.11710894429746</v>
      </c>
      <c r="S260" s="121">
        <f t="shared" si="37"/>
        <v>0</v>
      </c>
      <c r="T260" s="121">
        <f t="shared" si="37"/>
        <v>29109.920451841823</v>
      </c>
      <c r="U260" s="121">
        <f t="shared" si="37"/>
        <v>0</v>
      </c>
      <c r="V260" s="121">
        <f t="shared" si="37"/>
        <v>8337.0882839597562</v>
      </c>
      <c r="W260" s="121">
        <f t="shared" si="37"/>
        <v>0</v>
      </c>
      <c r="X260" s="121">
        <f t="shared" si="37"/>
        <v>235380.55373712431</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5302175.5088822944</v>
      </c>
      <c r="K264" s="98">
        <f t="shared" si="38"/>
        <v>37813.329477393563</v>
      </c>
      <c r="L264" s="98">
        <f t="shared" si="38"/>
        <v>2094645.9614431218</v>
      </c>
      <c r="M264" s="98">
        <f t="shared" si="38"/>
        <v>17149.671776577346</v>
      </c>
      <c r="N264" s="98">
        <f t="shared" si="38"/>
        <v>1239373.5672481239</v>
      </c>
      <c r="O264" s="98">
        <f t="shared" si="38"/>
        <v>705535.43385042471</v>
      </c>
      <c r="P264" s="98">
        <f t="shared" si="38"/>
        <v>2349235.1488123066</v>
      </c>
      <c r="Q264" s="98">
        <f t="shared" si="38"/>
        <v>117709.94724846938</v>
      </c>
      <c r="R264" s="98">
        <f t="shared" si="38"/>
        <v>3300.7884209498711</v>
      </c>
      <c r="S264" s="98">
        <f t="shared" si="38"/>
        <v>0</v>
      </c>
      <c r="T264" s="98">
        <f t="shared" si="38"/>
        <v>66908.697059982354</v>
      </c>
      <c r="U264" s="98">
        <f t="shared" si="38"/>
        <v>0</v>
      </c>
      <c r="V264" s="98">
        <f t="shared" si="38"/>
        <v>17798.383329103795</v>
      </c>
      <c r="W264" s="98">
        <f t="shared" si="38"/>
        <v>0</v>
      </c>
      <c r="X264" s="98">
        <f t="shared" si="38"/>
        <v>555805.09461590042</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1491636.9166571859</v>
      </c>
      <c r="K268" s="98">
        <f t="shared" si="39"/>
        <v>0</v>
      </c>
      <c r="L268" s="98">
        <f t="shared" si="39"/>
        <v>151146.83013333552</v>
      </c>
      <c r="M268" s="98">
        <f t="shared" si="39"/>
        <v>0</v>
      </c>
      <c r="N268" s="98">
        <f t="shared" si="39"/>
        <v>8177.5038192570391</v>
      </c>
      <c r="O268" s="98">
        <f t="shared" si="39"/>
        <v>1651.9050450176878</v>
      </c>
      <c r="P268" s="98">
        <f t="shared" si="39"/>
        <v>1143.7555354165991</v>
      </c>
      <c r="Q268" s="98">
        <f t="shared" si="39"/>
        <v>24.569263564139717</v>
      </c>
      <c r="R268" s="98">
        <f t="shared" si="39"/>
        <v>0</v>
      </c>
      <c r="S268" s="98">
        <f t="shared" si="39"/>
        <v>0</v>
      </c>
      <c r="T268" s="98">
        <f t="shared" si="39"/>
        <v>861.47352056885472</v>
      </c>
      <c r="U268" s="98">
        <f t="shared" si="39"/>
        <v>0</v>
      </c>
      <c r="V268" s="98">
        <f t="shared" si="39"/>
        <v>112.05985177756838</v>
      </c>
      <c r="W268" s="98">
        <f t="shared" si="39"/>
        <v>0</v>
      </c>
      <c r="X268" s="98">
        <f t="shared" si="39"/>
        <v>284.55473026719613</v>
      </c>
      <c r="Y268" s="98">
        <f t="shared" si="39"/>
        <v>0</v>
      </c>
      <c r="AQ268" s="3"/>
    </row>
    <row r="269" spans="5:43" x14ac:dyDescent="0.3">
      <c r="F269" s="28" t="s">
        <v>448</v>
      </c>
      <c r="G269" s="28" t="s">
        <v>212</v>
      </c>
      <c r="J269" s="98">
        <f t="shared" ref="J269:Y269" si="40">J211</f>
        <v>11395.451848846675</v>
      </c>
      <c r="K269" s="98">
        <f t="shared" si="40"/>
        <v>0</v>
      </c>
      <c r="L269" s="98">
        <f t="shared" si="40"/>
        <v>246.75544958396392</v>
      </c>
      <c r="M269" s="98">
        <f t="shared" si="40"/>
        <v>0</v>
      </c>
      <c r="N269" s="98">
        <f t="shared" si="40"/>
        <v>34.444621042666761</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33714.381027148498</v>
      </c>
      <c r="K270" s="98">
        <f t="shared" si="41"/>
        <v>0</v>
      </c>
      <c r="L270" s="98">
        <f t="shared" si="41"/>
        <v>1038.9920510241375</v>
      </c>
      <c r="M270" s="98">
        <f t="shared" si="41"/>
        <v>0</v>
      </c>
      <c r="N270" s="98">
        <f t="shared" si="41"/>
        <v>270.14849660438779</v>
      </c>
      <c r="O270" s="98">
        <f t="shared" si="41"/>
        <v>5.4782154927201754</v>
      </c>
      <c r="P270" s="98">
        <f t="shared" si="41"/>
        <v>10.956430985440345</v>
      </c>
      <c r="Q270" s="98">
        <f t="shared" si="41"/>
        <v>0.58390516788023794</v>
      </c>
      <c r="R270" s="98">
        <f t="shared" si="41"/>
        <v>0</v>
      </c>
      <c r="S270" s="98">
        <f t="shared" si="41"/>
        <v>0</v>
      </c>
      <c r="T270" s="98">
        <f t="shared" si="41"/>
        <v>4.912912803409677</v>
      </c>
      <c r="U270" s="98">
        <f t="shared" si="41"/>
        <v>0</v>
      </c>
      <c r="V270" s="98">
        <f t="shared" si="41"/>
        <v>0</v>
      </c>
      <c r="W270" s="98">
        <f t="shared" si="41"/>
        <v>0</v>
      </c>
      <c r="X270" s="98">
        <f t="shared" si="41"/>
        <v>0.24209302560552895</v>
      </c>
      <c r="Y270" s="98">
        <f t="shared" si="41"/>
        <v>0</v>
      </c>
      <c r="AQ270" s="3"/>
    </row>
    <row r="271" spans="5:43" x14ac:dyDescent="0.3">
      <c r="F271" s="28" t="s">
        <v>450</v>
      </c>
      <c r="G271" s="28" t="s">
        <v>167</v>
      </c>
      <c r="J271" s="385">
        <f t="shared" ref="J271:Y271" si="42">IF(J$40, J$46, J$34)</f>
        <v>0.38089985064832788</v>
      </c>
      <c r="K271" s="385">
        <f t="shared" si="42"/>
        <v>0.38089985064832788</v>
      </c>
      <c r="L271" s="385">
        <f t="shared" si="42"/>
        <v>0.38089985064832788</v>
      </c>
      <c r="M271" s="385">
        <f t="shared" si="42"/>
        <v>0.38089985064832788</v>
      </c>
      <c r="N271" s="385">
        <f t="shared" si="42"/>
        <v>0.38089985064832788</v>
      </c>
      <c r="O271" s="385">
        <f t="shared" si="42"/>
        <v>0</v>
      </c>
      <c r="P271" s="385">
        <f t="shared" si="42"/>
        <v>0</v>
      </c>
      <c r="Q271" s="385">
        <f t="shared" si="42"/>
        <v>0.38089985064832788</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0.57501376699133966</v>
      </c>
      <c r="K272" s="385">
        <f t="shared" si="43"/>
        <v>0.57501376699133966</v>
      </c>
      <c r="L272" s="385">
        <f t="shared" si="43"/>
        <v>0.57501376699133966</v>
      </c>
      <c r="M272" s="385">
        <f t="shared" si="43"/>
        <v>0.57501376699133966</v>
      </c>
      <c r="N272" s="385">
        <f t="shared" si="43"/>
        <v>0.57501376699133966</v>
      </c>
      <c r="O272" s="385">
        <f t="shared" si="43"/>
        <v>0.30026377203686194</v>
      </c>
      <c r="P272" s="385">
        <f t="shared" si="43"/>
        <v>0.17052516507035737</v>
      </c>
      <c r="Q272" s="385">
        <f t="shared" si="43"/>
        <v>0.57501376699133966</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7054.9259415507649</v>
      </c>
      <c r="K273" s="98">
        <f t="shared" si="44"/>
        <v>0</v>
      </c>
      <c r="L273" s="98">
        <f t="shared" si="44"/>
        <v>152.76633569077106</v>
      </c>
      <c r="M273" s="98">
        <f t="shared" si="44"/>
        <v>0</v>
      </c>
      <c r="N273" s="98">
        <f t="shared" si="44"/>
        <v>21.324670031876739</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14328.147790946488</v>
      </c>
      <c r="K274" s="100">
        <f t="shared" si="45"/>
        <v>0</v>
      </c>
      <c r="L274" s="100">
        <f t="shared" si="45"/>
        <v>441.55731789069</v>
      </c>
      <c r="M274" s="100">
        <f t="shared" si="45"/>
        <v>0</v>
      </c>
      <c r="N274" s="100">
        <f t="shared" si="45"/>
        <v>114.80939192485164</v>
      </c>
      <c r="O274" s="100">
        <f t="shared" si="45"/>
        <v>3.8333058448452393</v>
      </c>
      <c r="P274" s="100">
        <f t="shared" si="45"/>
        <v>9.0880837830661516</v>
      </c>
      <c r="Q274" s="100">
        <f t="shared" si="45"/>
        <v>0.24815165773171174</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1513019.9903896833</v>
      </c>
      <c r="K275" s="121">
        <f t="shared" si="46"/>
        <v>0</v>
      </c>
      <c r="L275" s="121">
        <f t="shared" si="46"/>
        <v>151741.15378691698</v>
      </c>
      <c r="M275" s="121">
        <f t="shared" si="46"/>
        <v>0</v>
      </c>
      <c r="N275" s="121">
        <f t="shared" si="46"/>
        <v>8313.6378812137664</v>
      </c>
      <c r="O275" s="121">
        <f t="shared" si="46"/>
        <v>1655.738350862533</v>
      </c>
      <c r="P275" s="121">
        <f t="shared" si="46"/>
        <v>1152.8436191996652</v>
      </c>
      <c r="Q275" s="121">
        <f t="shared" si="46"/>
        <v>24.817415221871428</v>
      </c>
      <c r="R275" s="121">
        <f t="shared" si="46"/>
        <v>0</v>
      </c>
      <c r="S275" s="121">
        <f t="shared" si="46"/>
        <v>0</v>
      </c>
      <c r="T275" s="121">
        <f t="shared" si="46"/>
        <v>861.47352056885472</v>
      </c>
      <c r="U275" s="121">
        <f t="shared" si="46"/>
        <v>0</v>
      </c>
      <c r="V275" s="121">
        <f t="shared" si="46"/>
        <v>112.05985177756838</v>
      </c>
      <c r="W275" s="121">
        <f t="shared" si="46"/>
        <v>0</v>
      </c>
      <c r="X275" s="121">
        <f t="shared" si="46"/>
        <v>284.55473026719613</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756106.00000000012</v>
      </c>
      <c r="O279" s="98">
        <f t="shared" si="47"/>
        <v>388283.21783095319</v>
      </c>
      <c r="P279" s="98">
        <f t="shared" si="47"/>
        <v>942929.21419738396</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3513.8902753122902</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52215.765949266861</v>
      </c>
      <c r="O281" s="98">
        <f t="shared" si="49"/>
        <v>3154.082569933641</v>
      </c>
      <c r="P281" s="98">
        <f t="shared" si="49"/>
        <v>13438.062603642587</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0.38089985064832788</v>
      </c>
      <c r="K282" s="385">
        <f t="shared" si="50"/>
        <v>0.38089985064832788</v>
      </c>
      <c r="L282" s="385">
        <f t="shared" si="50"/>
        <v>0.38089985064832788</v>
      </c>
      <c r="M282" s="385">
        <f t="shared" si="50"/>
        <v>0.38089985064832788</v>
      </c>
      <c r="N282" s="385">
        <f t="shared" si="50"/>
        <v>0.38089985064832788</v>
      </c>
      <c r="O282" s="385">
        <f t="shared" si="50"/>
        <v>0</v>
      </c>
      <c r="P282" s="385">
        <f t="shared" si="50"/>
        <v>0</v>
      </c>
      <c r="Q282" s="385">
        <f t="shared" si="50"/>
        <v>0.38089985064832788</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0.57501376699133966</v>
      </c>
      <c r="K283" s="385">
        <f t="shared" si="51"/>
        <v>0.57501376699133966</v>
      </c>
      <c r="L283" s="385">
        <f t="shared" si="51"/>
        <v>0.57501376699133966</v>
      </c>
      <c r="M283" s="385">
        <f t="shared" si="51"/>
        <v>0.57501376699133966</v>
      </c>
      <c r="N283" s="385">
        <f t="shared" si="51"/>
        <v>0.57501376699133966</v>
      </c>
      <c r="O283" s="385">
        <f t="shared" si="51"/>
        <v>0.30026377203686194</v>
      </c>
      <c r="P283" s="385">
        <f t="shared" si="51"/>
        <v>0.17052516507035737</v>
      </c>
      <c r="Q283" s="385">
        <f t="shared" si="51"/>
        <v>0.57501376699133966</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2175.4499942512271</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22190.981674440798</v>
      </c>
      <c r="O285" s="100">
        <f t="shared" si="53"/>
        <v>2207.0258401696465</v>
      </c>
      <c r="P285" s="100">
        <f t="shared" si="53"/>
        <v>11146.534759930639</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780472.43166869215</v>
      </c>
      <c r="O286" s="121">
        <f t="shared" si="54"/>
        <v>390490.24367112282</v>
      </c>
      <c r="P286" s="121">
        <f t="shared" si="54"/>
        <v>954075.74895731464</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18170.029019437148</v>
      </c>
      <c r="O290" s="98">
        <f t="shared" si="55"/>
        <v>5537.6623588380098</v>
      </c>
      <c r="P290" s="98">
        <f t="shared" si="55"/>
        <v>3426.0653564780446</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30.989482107276224</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248.07037657881625</v>
      </c>
      <c r="O292" s="98">
        <f t="shared" si="57"/>
        <v>0</v>
      </c>
      <c r="P292" s="98">
        <f t="shared" si="57"/>
        <v>0</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0.38089985064832788</v>
      </c>
      <c r="K293" s="385">
        <f t="shared" si="58"/>
        <v>0.38089985064832788</v>
      </c>
      <c r="L293" s="385">
        <f t="shared" si="58"/>
        <v>0.38089985064832788</v>
      </c>
      <c r="M293" s="385">
        <f t="shared" si="58"/>
        <v>0.38089985064832788</v>
      </c>
      <c r="N293" s="385">
        <f t="shared" si="58"/>
        <v>0.38089985064832788</v>
      </c>
      <c r="O293" s="385">
        <f t="shared" si="58"/>
        <v>0</v>
      </c>
      <c r="P293" s="385">
        <f t="shared" si="58"/>
        <v>0</v>
      </c>
      <c r="Q293" s="385">
        <f t="shared" si="58"/>
        <v>0.38089985064832788</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0.57501376699133966</v>
      </c>
      <c r="K294" s="385">
        <f t="shared" si="59"/>
        <v>0.57501376699133966</v>
      </c>
      <c r="L294" s="385">
        <f t="shared" si="59"/>
        <v>0.57501376699133966</v>
      </c>
      <c r="M294" s="385">
        <f t="shared" si="59"/>
        <v>0.57501376699133966</v>
      </c>
      <c r="N294" s="385">
        <f t="shared" si="59"/>
        <v>0.57501376699133966</v>
      </c>
      <c r="O294" s="385">
        <f t="shared" si="59"/>
        <v>0.30026377203686194</v>
      </c>
      <c r="P294" s="385">
        <f t="shared" si="59"/>
        <v>0.17052516507035737</v>
      </c>
      <c r="Q294" s="385">
        <f t="shared" si="59"/>
        <v>0.57501376699133966</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19.18559300094568</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105.42649486327092</v>
      </c>
      <c r="O296" s="100">
        <f t="shared" si="61"/>
        <v>0</v>
      </c>
      <c r="P296" s="100">
        <f t="shared" si="61"/>
        <v>0</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18294.641107301362</v>
      </c>
      <c r="O297" s="121">
        <f t="shared" si="62"/>
        <v>5537.6623588380098</v>
      </c>
      <c r="P297" s="121">
        <f t="shared" si="62"/>
        <v>3426.0653564780446</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127319.01421606644</v>
      </c>
      <c r="O301" s="98">
        <f t="shared" si="63"/>
        <v>63762.403158405185</v>
      </c>
      <c r="P301" s="98">
        <f t="shared" si="63"/>
        <v>127584.38810580684</v>
      </c>
      <c r="Q301" s="98">
        <f t="shared" si="63"/>
        <v>0</v>
      </c>
      <c r="R301" s="98">
        <f t="shared" si="63"/>
        <v>0</v>
      </c>
      <c r="S301" s="98">
        <f t="shared" si="63"/>
        <v>0</v>
      </c>
      <c r="T301" s="98">
        <f t="shared" si="63"/>
        <v>5860.34329429218</v>
      </c>
      <c r="U301" s="98">
        <f t="shared" si="63"/>
        <v>0</v>
      </c>
      <c r="V301" s="98">
        <f t="shared" si="63"/>
        <v>1979.3774685899657</v>
      </c>
      <c r="W301" s="98">
        <f t="shared" si="63"/>
        <v>0</v>
      </c>
      <c r="X301" s="98">
        <f t="shared" si="63"/>
        <v>9248.3392978234697</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422.68577546465883</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3545.5097154606988</v>
      </c>
      <c r="O303" s="98">
        <f t="shared" si="65"/>
        <v>534.79656800700491</v>
      </c>
      <c r="P303" s="98">
        <f t="shared" si="65"/>
        <v>582.53356186336214</v>
      </c>
      <c r="Q303" s="98">
        <f t="shared" si="65"/>
        <v>0</v>
      </c>
      <c r="R303" s="98">
        <f t="shared" si="65"/>
        <v>0</v>
      </c>
      <c r="S303" s="98">
        <f t="shared" si="65"/>
        <v>0</v>
      </c>
      <c r="T303" s="98">
        <f t="shared" si="65"/>
        <v>2.1782595025625353</v>
      </c>
      <c r="U303" s="98">
        <f t="shared" si="65"/>
        <v>0</v>
      </c>
      <c r="V303" s="98">
        <f t="shared" si="65"/>
        <v>0</v>
      </c>
      <c r="W303" s="98">
        <f t="shared" si="65"/>
        <v>0</v>
      </c>
      <c r="X303" s="98">
        <f t="shared" si="65"/>
        <v>0</v>
      </c>
      <c r="Y303" s="98">
        <f t="shared" si="65"/>
        <v>0</v>
      </c>
      <c r="AQ303" s="3"/>
    </row>
    <row r="304" spans="5:43" x14ac:dyDescent="0.3">
      <c r="F304" s="28" t="s">
        <v>450</v>
      </c>
      <c r="G304" s="28" t="s">
        <v>167</v>
      </c>
      <c r="J304" s="385">
        <f t="shared" ref="J304:Y304" si="66">IF(J$43, J$49, J$34)</f>
        <v>0.38089985064832788</v>
      </c>
      <c r="K304" s="385">
        <f t="shared" si="66"/>
        <v>0.38089985064832788</v>
      </c>
      <c r="L304" s="385">
        <f t="shared" si="66"/>
        <v>0.38089985064832788</v>
      </c>
      <c r="M304" s="385">
        <f t="shared" si="66"/>
        <v>0.38089985064832788</v>
      </c>
      <c r="N304" s="385">
        <f t="shared" si="66"/>
        <v>0.38089985064832788</v>
      </c>
      <c r="O304" s="385">
        <f t="shared" si="66"/>
        <v>0</v>
      </c>
      <c r="P304" s="385">
        <f t="shared" si="66"/>
        <v>0</v>
      </c>
      <c r="Q304" s="385">
        <f t="shared" si="66"/>
        <v>0.38089985064832788</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0.57501376699133966</v>
      </c>
      <c r="K305" s="385">
        <f t="shared" si="67"/>
        <v>0.57501376699133966</v>
      </c>
      <c r="L305" s="385">
        <f t="shared" si="67"/>
        <v>0.57501376699133966</v>
      </c>
      <c r="M305" s="385">
        <f t="shared" si="67"/>
        <v>0.57501376699133966</v>
      </c>
      <c r="N305" s="385">
        <f t="shared" si="67"/>
        <v>0.57501376699133966</v>
      </c>
      <c r="O305" s="385">
        <f t="shared" si="67"/>
        <v>0.30026377203686194</v>
      </c>
      <c r="P305" s="385">
        <f t="shared" si="67"/>
        <v>0.17052516507035737</v>
      </c>
      <c r="Q305" s="385">
        <f t="shared" si="67"/>
        <v>0.57501376699133966</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261.68482671899761</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1506.7928180692495</v>
      </c>
      <c r="O307" s="100">
        <f t="shared" si="69"/>
        <v>374.21653322485344</v>
      </c>
      <c r="P307" s="100">
        <f t="shared" si="69"/>
        <v>483.19693006758905</v>
      </c>
      <c r="Q307" s="100">
        <f t="shared" si="69"/>
        <v>0</v>
      </c>
      <c r="R307" s="100">
        <f t="shared" si="69"/>
        <v>0</v>
      </c>
      <c r="S307" s="100">
        <f t="shared" si="69"/>
        <v>0</v>
      </c>
      <c r="T307" s="100">
        <f t="shared" si="69"/>
        <v>2.1782595025625353</v>
      </c>
      <c r="U307" s="100">
        <f t="shared" si="69"/>
        <v>0</v>
      </c>
      <c r="V307" s="100">
        <f t="shared" si="69"/>
        <v>0</v>
      </c>
      <c r="W307" s="100">
        <f t="shared" si="69"/>
        <v>0</v>
      </c>
      <c r="X307" s="100">
        <f t="shared" si="69"/>
        <v>0</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129087.49186085469</v>
      </c>
      <c r="O308" s="121">
        <f t="shared" si="70"/>
        <v>64136.61969163004</v>
      </c>
      <c r="P308" s="121">
        <f t="shared" si="70"/>
        <v>128067.58503587442</v>
      </c>
      <c r="Q308" s="121">
        <f t="shared" si="70"/>
        <v>0</v>
      </c>
      <c r="R308" s="121">
        <f t="shared" si="70"/>
        <v>0</v>
      </c>
      <c r="S308" s="121">
        <f t="shared" si="70"/>
        <v>0</v>
      </c>
      <c r="T308" s="121">
        <f t="shared" si="70"/>
        <v>5862.5215537947424</v>
      </c>
      <c r="U308" s="121">
        <f t="shared" si="70"/>
        <v>0</v>
      </c>
      <c r="V308" s="121">
        <f t="shared" si="70"/>
        <v>1979.3774685899657</v>
      </c>
      <c r="W308" s="121">
        <f t="shared" si="70"/>
        <v>0</v>
      </c>
      <c r="X308" s="121">
        <f t="shared" si="70"/>
        <v>9248.3392978234697</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0.38089985064832788</v>
      </c>
      <c r="K315" s="154">
        <f t="shared" ref="K315:Y315" si="71">IF(K$39, K$45, K$34)</f>
        <v>0.38089985064832788</v>
      </c>
      <c r="L315" s="154">
        <f t="shared" si="71"/>
        <v>0.38089985064832788</v>
      </c>
      <c r="M315" s="154">
        <f t="shared" si="71"/>
        <v>0.38089985064832788</v>
      </c>
      <c r="N315" s="154">
        <f t="shared" si="71"/>
        <v>0.38089985064832788</v>
      </c>
      <c r="O315" s="154">
        <f t="shared" si="71"/>
        <v>0</v>
      </c>
      <c r="P315" s="154">
        <f t="shared" si="71"/>
        <v>0</v>
      </c>
      <c r="Q315" s="154">
        <f t="shared" si="71"/>
        <v>0.38089985064832788</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0.38089985064832788</v>
      </c>
      <c r="K316" s="332">
        <f t="shared" si="72"/>
        <v>0.38089985064832788</v>
      </c>
      <c r="L316" s="332">
        <f t="shared" si="72"/>
        <v>0.38089985064832788</v>
      </c>
      <c r="M316" s="332">
        <f t="shared" si="72"/>
        <v>0.38089985064832788</v>
      </c>
      <c r="N316" s="332">
        <f t="shared" si="72"/>
        <v>0.38089985064832788</v>
      </c>
      <c r="O316" s="332">
        <f t="shared" si="72"/>
        <v>0</v>
      </c>
      <c r="P316" s="332">
        <f t="shared" si="72"/>
        <v>0</v>
      </c>
      <c r="Q316" s="332">
        <f t="shared" si="72"/>
        <v>0.38089985064832788</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0.38089985064832788</v>
      </c>
      <c r="K317" s="155">
        <f t="shared" si="72"/>
        <v>0.38089985064832788</v>
      </c>
      <c r="L317" s="155">
        <f t="shared" si="72"/>
        <v>0.38089985064832788</v>
      </c>
      <c r="M317" s="155">
        <f t="shared" si="72"/>
        <v>0.38089985064832788</v>
      </c>
      <c r="N317" s="155">
        <f t="shared" si="72"/>
        <v>0.38089985064832788</v>
      </c>
      <c r="O317" s="155">
        <f t="shared" si="72"/>
        <v>0</v>
      </c>
      <c r="P317" s="155">
        <f t="shared" si="72"/>
        <v>0</v>
      </c>
      <c r="Q317" s="155">
        <f t="shared" si="72"/>
        <v>0.38089985064832788</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0.38089985064832788</v>
      </c>
      <c r="K318" s="332">
        <f t="shared" si="73"/>
        <v>0.38089985064832788</v>
      </c>
      <c r="L318" s="332">
        <f t="shared" si="73"/>
        <v>0.38089985064832788</v>
      </c>
      <c r="M318" s="332">
        <f t="shared" si="73"/>
        <v>0.38089985064832788</v>
      </c>
      <c r="N318" s="332">
        <f t="shared" si="73"/>
        <v>0.38089985064832788</v>
      </c>
      <c r="O318" s="332">
        <f t="shared" si="73"/>
        <v>0</v>
      </c>
      <c r="P318" s="332">
        <f t="shared" si="73"/>
        <v>0</v>
      </c>
      <c r="Q318" s="332">
        <f t="shared" si="73"/>
        <v>0.38089985064832788</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0.38089985064832788</v>
      </c>
      <c r="K319" s="332">
        <f t="shared" si="74"/>
        <v>0.38089985064832788</v>
      </c>
      <c r="L319" s="332">
        <f t="shared" si="74"/>
        <v>0.38089985064832788</v>
      </c>
      <c r="M319" s="332">
        <f t="shared" si="74"/>
        <v>0.38089985064832788</v>
      </c>
      <c r="N319" s="332">
        <f t="shared" si="74"/>
        <v>0.38089985064832788</v>
      </c>
      <c r="O319" s="332">
        <f t="shared" si="74"/>
        <v>0</v>
      </c>
      <c r="P319" s="332">
        <f t="shared" si="74"/>
        <v>0</v>
      </c>
      <c r="Q319" s="332">
        <f t="shared" si="74"/>
        <v>0.38089985064832788</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0.38089985064832788</v>
      </c>
      <c r="K320" s="332">
        <f t="shared" si="75"/>
        <v>0.38089985064832788</v>
      </c>
      <c r="L320" s="332">
        <f t="shared" si="75"/>
        <v>0.38089985064832788</v>
      </c>
      <c r="M320" s="332">
        <f t="shared" si="75"/>
        <v>0.38089985064832788</v>
      </c>
      <c r="N320" s="332">
        <f t="shared" si="75"/>
        <v>0.38089985064832788</v>
      </c>
      <c r="O320" s="332">
        <f t="shared" si="75"/>
        <v>0</v>
      </c>
      <c r="P320" s="332">
        <f t="shared" si="75"/>
        <v>0</v>
      </c>
      <c r="Q320" s="332">
        <f t="shared" si="75"/>
        <v>0.38089985064832788</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0.38089985064832788</v>
      </c>
      <c r="K321" s="155">
        <f t="shared" si="76"/>
        <v>0.38089985064832788</v>
      </c>
      <c r="L321" s="155">
        <f t="shared" si="76"/>
        <v>0.38089985064832788</v>
      </c>
      <c r="M321" s="155">
        <f t="shared" si="76"/>
        <v>0.38089985064832788</v>
      </c>
      <c r="N321" s="155">
        <f t="shared" si="76"/>
        <v>0.38089985064832788</v>
      </c>
      <c r="O321" s="155">
        <f t="shared" si="76"/>
        <v>0</v>
      </c>
      <c r="P321" s="155">
        <f t="shared" si="76"/>
        <v>0</v>
      </c>
      <c r="Q321" s="155">
        <f t="shared" si="76"/>
        <v>0.38089985064832788</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0.57501376699133966</v>
      </c>
      <c r="K324" s="154">
        <f t="shared" ref="K324:Y326" si="77">IF(K$39, K$45, K$35)</f>
        <v>0.57501376699133966</v>
      </c>
      <c r="L324" s="154">
        <f t="shared" si="77"/>
        <v>0.57501376699133966</v>
      </c>
      <c r="M324" s="154">
        <f t="shared" si="77"/>
        <v>0.57501376699133966</v>
      </c>
      <c r="N324" s="154">
        <f t="shared" si="77"/>
        <v>0.57501376699133966</v>
      </c>
      <c r="O324" s="154">
        <f t="shared" si="77"/>
        <v>0.30026377203686194</v>
      </c>
      <c r="P324" s="154">
        <f t="shared" si="77"/>
        <v>0.17052516507035737</v>
      </c>
      <c r="Q324" s="154">
        <f t="shared" si="77"/>
        <v>0.57501376699133966</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0.57501376699133966</v>
      </c>
      <c r="K325" s="332">
        <f t="shared" si="77"/>
        <v>0.57501376699133966</v>
      </c>
      <c r="L325" s="332">
        <f t="shared" si="77"/>
        <v>0.57501376699133966</v>
      </c>
      <c r="M325" s="332">
        <f t="shared" si="77"/>
        <v>0.57501376699133966</v>
      </c>
      <c r="N325" s="332">
        <f t="shared" si="77"/>
        <v>0.57501376699133966</v>
      </c>
      <c r="O325" s="332">
        <f t="shared" si="77"/>
        <v>0.30026377203686194</v>
      </c>
      <c r="P325" s="332">
        <f t="shared" si="77"/>
        <v>0.17052516507035737</v>
      </c>
      <c r="Q325" s="332">
        <f t="shared" si="77"/>
        <v>0.57501376699133966</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0.57501376699133966</v>
      </c>
      <c r="K326" s="155">
        <f t="shared" si="77"/>
        <v>0.57501376699133966</v>
      </c>
      <c r="L326" s="155">
        <f t="shared" si="77"/>
        <v>0.57501376699133966</v>
      </c>
      <c r="M326" s="155">
        <f t="shared" si="77"/>
        <v>0.57501376699133966</v>
      </c>
      <c r="N326" s="155">
        <f t="shared" si="77"/>
        <v>0.57501376699133966</v>
      </c>
      <c r="O326" s="155">
        <f t="shared" si="77"/>
        <v>0.30026377203686194</v>
      </c>
      <c r="P326" s="155">
        <f t="shared" si="77"/>
        <v>0.17052516507035737</v>
      </c>
      <c r="Q326" s="155">
        <f t="shared" si="77"/>
        <v>0.57501376699133966</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0.57501376699133966</v>
      </c>
      <c r="K327" s="332">
        <f t="shared" si="79"/>
        <v>0.57501376699133966</v>
      </c>
      <c r="L327" s="332">
        <f t="shared" si="79"/>
        <v>0.57501376699133966</v>
      </c>
      <c r="M327" s="332">
        <f t="shared" si="79"/>
        <v>0.57501376699133966</v>
      </c>
      <c r="N327" s="332">
        <f t="shared" si="79"/>
        <v>0.57501376699133966</v>
      </c>
      <c r="O327" s="332">
        <f t="shared" si="79"/>
        <v>0.30026377203686194</v>
      </c>
      <c r="P327" s="332">
        <f t="shared" si="79"/>
        <v>0.17052516507035737</v>
      </c>
      <c r="Q327" s="332">
        <f t="shared" si="79"/>
        <v>0.57501376699133966</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0.57501376699133966</v>
      </c>
      <c r="K328" s="332">
        <f t="shared" si="80"/>
        <v>0.57501376699133966</v>
      </c>
      <c r="L328" s="332">
        <f t="shared" si="80"/>
        <v>0.57501376699133966</v>
      </c>
      <c r="M328" s="332">
        <f t="shared" si="80"/>
        <v>0.57501376699133966</v>
      </c>
      <c r="N328" s="332">
        <f t="shared" si="80"/>
        <v>0.57501376699133966</v>
      </c>
      <c r="O328" s="332">
        <f t="shared" si="80"/>
        <v>0.30026377203686194</v>
      </c>
      <c r="P328" s="332">
        <f t="shared" si="80"/>
        <v>0.17052516507035737</v>
      </c>
      <c r="Q328" s="332">
        <f t="shared" si="80"/>
        <v>0.57501376699133966</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0.57501376699133966</v>
      </c>
      <c r="K329" s="332">
        <f t="shared" si="81"/>
        <v>0.57501376699133966</v>
      </c>
      <c r="L329" s="332">
        <f t="shared" si="81"/>
        <v>0.57501376699133966</v>
      </c>
      <c r="M329" s="332">
        <f t="shared" si="81"/>
        <v>0.57501376699133966</v>
      </c>
      <c r="N329" s="332">
        <f t="shared" si="81"/>
        <v>0.57501376699133966</v>
      </c>
      <c r="O329" s="332">
        <f t="shared" si="81"/>
        <v>0.30026377203686194</v>
      </c>
      <c r="P329" s="332">
        <f t="shared" si="81"/>
        <v>0.17052516507035737</v>
      </c>
      <c r="Q329" s="332">
        <f t="shared" si="81"/>
        <v>0.57501376699133966</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0.57501376699133966</v>
      </c>
      <c r="K330" s="155">
        <f t="shared" si="82"/>
        <v>0.57501376699133966</v>
      </c>
      <c r="L330" s="155">
        <f t="shared" si="82"/>
        <v>0.57501376699133966</v>
      </c>
      <c r="M330" s="155">
        <f t="shared" si="82"/>
        <v>0.57501376699133966</v>
      </c>
      <c r="N330" s="155">
        <f t="shared" si="82"/>
        <v>0.57501376699133966</v>
      </c>
      <c r="O330" s="155">
        <f t="shared" si="82"/>
        <v>0.30026377203686194</v>
      </c>
      <c r="P330" s="155">
        <f t="shared" si="82"/>
        <v>0.17052516507035737</v>
      </c>
      <c r="Q330" s="155">
        <f t="shared" si="82"/>
        <v>0.57501376699133966</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5.1069600457863729</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44.031921592651642</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18.658964606730699</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9.3175685451818087</v>
      </c>
      <c r="U344" s="126">
        <f t="shared" si="86"/>
        <v>0</v>
      </c>
      <c r="V344" s="126">
        <f t="shared" si="86"/>
        <v>0</v>
      </c>
      <c r="W344" s="126">
        <f t="shared" si="86"/>
        <v>0</v>
      </c>
      <c r="X344" s="126">
        <f t="shared" si="86"/>
        <v>0.28793605051586674</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82.718185842262727</v>
      </c>
      <c r="U345" s="330">
        <f t="shared" si="86"/>
        <v>0</v>
      </c>
      <c r="V345" s="330">
        <f t="shared" si="86"/>
        <v>0</v>
      </c>
      <c r="W345" s="330">
        <f t="shared" si="86"/>
        <v>0</v>
      </c>
      <c r="X345" s="330">
        <f t="shared" si="86"/>
        <v>2.9395648662404099</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316.59177029657002</v>
      </c>
      <c r="U346" s="330">
        <f t="shared" si="86"/>
        <v>0</v>
      </c>
      <c r="V346" s="330">
        <f t="shared" si="86"/>
        <v>0</v>
      </c>
      <c r="W346" s="330">
        <f t="shared" si="86"/>
        <v>0</v>
      </c>
      <c r="X346" s="330">
        <f t="shared" si="86"/>
        <v>2.0316824650938816</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2.1782595025625353</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165.19190239670218</v>
      </c>
      <c r="L353" s="126">
        <f t="shared" si="87"/>
        <v>0</v>
      </c>
      <c r="M353" s="126">
        <f t="shared" si="87"/>
        <v>156.53988635874572</v>
      </c>
      <c r="N353" s="126">
        <f t="shared" si="87"/>
        <v>0</v>
      </c>
      <c r="O353" s="126">
        <f t="shared" si="87"/>
        <v>0</v>
      </c>
      <c r="P353" s="126">
        <f t="shared" si="87"/>
        <v>0</v>
      </c>
      <c r="Q353" s="83"/>
      <c r="R353" s="126">
        <f t="shared" ref="R353:Y359" si="88">R58+R335+R344</f>
        <v>213.54227680548701</v>
      </c>
      <c r="S353" s="126">
        <f t="shared" si="88"/>
        <v>0</v>
      </c>
      <c r="T353" s="126">
        <f t="shared" si="88"/>
        <v>3876.9550361278475</v>
      </c>
      <c r="U353" s="126">
        <f t="shared" si="88"/>
        <v>0</v>
      </c>
      <c r="V353" s="126">
        <f t="shared" si="88"/>
        <v>1009.8765349498661</v>
      </c>
      <c r="W353" s="126">
        <f t="shared" si="88"/>
        <v>0</v>
      </c>
      <c r="X353" s="126">
        <f t="shared" si="88"/>
        <v>33793.195270070777</v>
      </c>
      <c r="Y353" s="126">
        <f t="shared" si="88"/>
        <v>0</v>
      </c>
      <c r="AQ353" s="3"/>
    </row>
    <row r="354" spans="3:43" x14ac:dyDescent="0.3">
      <c r="E354" s="32"/>
      <c r="F354" s="72" t="s">
        <v>248</v>
      </c>
      <c r="G354" s="72" t="s">
        <v>207</v>
      </c>
      <c r="J354" s="331"/>
      <c r="K354" s="330">
        <f t="shared" si="87"/>
        <v>8808.4021048564955</v>
      </c>
      <c r="L354" s="330">
        <f t="shared" si="87"/>
        <v>0</v>
      </c>
      <c r="M354" s="330">
        <f t="shared" si="87"/>
        <v>5298.9984308607791</v>
      </c>
      <c r="N354" s="330">
        <f t="shared" si="87"/>
        <v>0</v>
      </c>
      <c r="O354" s="330">
        <f t="shared" si="87"/>
        <v>0</v>
      </c>
      <c r="P354" s="330">
        <f t="shared" si="87"/>
        <v>0</v>
      </c>
      <c r="Q354" s="331"/>
      <c r="R354" s="330">
        <f t="shared" si="88"/>
        <v>2164.1290352000869</v>
      </c>
      <c r="S354" s="330">
        <f t="shared" si="88"/>
        <v>0</v>
      </c>
      <c r="T354" s="330">
        <f t="shared" si="88"/>
        <v>33921.821572012675</v>
      </c>
      <c r="U354" s="330">
        <f t="shared" si="88"/>
        <v>0</v>
      </c>
      <c r="V354" s="330">
        <f t="shared" si="88"/>
        <v>8451.4185101941748</v>
      </c>
      <c r="W354" s="330">
        <f t="shared" si="88"/>
        <v>0</v>
      </c>
      <c r="X354" s="330">
        <f t="shared" si="88"/>
        <v>286631.34560870531</v>
      </c>
      <c r="Y354" s="330">
        <f t="shared" si="88"/>
        <v>0</v>
      </c>
      <c r="AQ354" s="3"/>
    </row>
    <row r="355" spans="3:43" x14ac:dyDescent="0.3">
      <c r="E355" s="32"/>
      <c r="F355" s="72" t="s">
        <v>249</v>
      </c>
      <c r="G355" s="72" t="s">
        <v>207</v>
      </c>
      <c r="J355" s="331"/>
      <c r="K355" s="330">
        <f t="shared" si="87"/>
        <v>28839.73547014036</v>
      </c>
      <c r="L355" s="330">
        <f t="shared" si="87"/>
        <v>0</v>
      </c>
      <c r="M355" s="330">
        <f t="shared" si="87"/>
        <v>11694.133459357819</v>
      </c>
      <c r="N355" s="330">
        <f t="shared" si="87"/>
        <v>0</v>
      </c>
      <c r="O355" s="330">
        <f t="shared" si="87"/>
        <v>0</v>
      </c>
      <c r="P355" s="330">
        <f t="shared" si="87"/>
        <v>0</v>
      </c>
      <c r="Q355" s="331"/>
      <c r="R355" s="330">
        <f t="shared" si="88"/>
        <v>923.11710894429746</v>
      </c>
      <c r="S355" s="330">
        <f t="shared" si="88"/>
        <v>0</v>
      </c>
      <c r="T355" s="330">
        <f t="shared" si="88"/>
        <v>29109.920451841823</v>
      </c>
      <c r="U355" s="330">
        <f t="shared" si="88"/>
        <v>0</v>
      </c>
      <c r="V355" s="330">
        <f t="shared" si="88"/>
        <v>8337.0882839597562</v>
      </c>
      <c r="W355" s="330">
        <f t="shared" si="88"/>
        <v>0</v>
      </c>
      <c r="X355" s="330">
        <f t="shared" si="88"/>
        <v>235380.55373712431</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861.47352056885472</v>
      </c>
      <c r="U356" s="330">
        <f t="shared" si="88"/>
        <v>0</v>
      </c>
      <c r="V356" s="330">
        <f t="shared" si="88"/>
        <v>112.05985177756838</v>
      </c>
      <c r="W356" s="330">
        <f t="shared" si="88"/>
        <v>0</v>
      </c>
      <c r="X356" s="330">
        <f t="shared" si="88"/>
        <v>284.55473026719613</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5862.5215537947424</v>
      </c>
      <c r="U359" s="100">
        <f t="shared" si="88"/>
        <v>0</v>
      </c>
      <c r="V359" s="100">
        <f t="shared" si="88"/>
        <v>1979.3774685899657</v>
      </c>
      <c r="W359" s="100">
        <f t="shared" si="88"/>
        <v>0</v>
      </c>
      <c r="X359" s="100">
        <f t="shared" si="88"/>
        <v>9248.3392978234697</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1648.351517443439</v>
      </c>
      <c r="K364" s="83"/>
      <c r="L364" s="126">
        <f t="shared" ref="L364:L370" si="90">(1 - L315) * L114</f>
        <v>2.4931739902870067</v>
      </c>
      <c r="M364" s="83"/>
      <c r="N364" s="126">
        <f t="shared" ref="N364:Q370" si="91">(1 - N315) * N114</f>
        <v>32.760972901052924</v>
      </c>
      <c r="O364" s="126">
        <f t="shared" si="91"/>
        <v>0</v>
      </c>
      <c r="P364" s="126">
        <f t="shared" si="91"/>
        <v>0</v>
      </c>
      <c r="Q364" s="126">
        <f t="shared" si="91"/>
        <v>0.8528203533193558</v>
      </c>
      <c r="R364" s="83"/>
      <c r="S364" s="83"/>
      <c r="T364" s="83"/>
      <c r="U364" s="83"/>
      <c r="V364" s="83"/>
      <c r="W364" s="83"/>
      <c r="X364" s="83"/>
      <c r="Y364" s="83"/>
      <c r="AQ364" s="3"/>
    </row>
    <row r="365" spans="3:43" x14ac:dyDescent="0.3">
      <c r="E365" s="32"/>
      <c r="F365" s="72" t="s">
        <v>248</v>
      </c>
      <c r="G365" s="72" t="s">
        <v>207</v>
      </c>
      <c r="J365" s="330">
        <f t="shared" si="89"/>
        <v>8905.8140478114765</v>
      </c>
      <c r="K365" s="331"/>
      <c r="L365" s="330">
        <f t="shared" si="90"/>
        <v>21.556975248135366</v>
      </c>
      <c r="M365" s="331"/>
      <c r="N365" s="330">
        <f t="shared" si="91"/>
        <v>231.09559832475955</v>
      </c>
      <c r="O365" s="330">
        <f t="shared" si="91"/>
        <v>0</v>
      </c>
      <c r="P365" s="330">
        <f t="shared" si="91"/>
        <v>0</v>
      </c>
      <c r="Q365" s="330">
        <f t="shared" si="91"/>
        <v>45.678774168652573</v>
      </c>
      <c r="R365" s="331"/>
      <c r="S365" s="331"/>
      <c r="T365" s="331"/>
      <c r="U365" s="331"/>
      <c r="V365" s="331"/>
      <c r="W365" s="331"/>
      <c r="X365" s="331"/>
      <c r="Y365" s="331"/>
      <c r="AQ365" s="3"/>
    </row>
    <row r="366" spans="3:43" x14ac:dyDescent="0.3">
      <c r="E366" s="32"/>
      <c r="F366" s="72" t="s">
        <v>249</v>
      </c>
      <c r="G366" s="72" t="s">
        <v>207</v>
      </c>
      <c r="J366" s="330">
        <f t="shared" si="89"/>
        <v>9280.7870301478815</v>
      </c>
      <c r="K366" s="331"/>
      <c r="L366" s="330">
        <f t="shared" si="90"/>
        <v>14.852188658290796</v>
      </c>
      <c r="M366" s="331"/>
      <c r="N366" s="330">
        <f t="shared" si="91"/>
        <v>235.06147694558226</v>
      </c>
      <c r="O366" s="330">
        <f t="shared" si="91"/>
        <v>0</v>
      </c>
      <c r="P366" s="330">
        <f t="shared" si="91"/>
        <v>0</v>
      </c>
      <c r="Q366" s="330">
        <f t="shared" si="91"/>
        <v>58.524990317936961</v>
      </c>
      <c r="R366" s="331"/>
      <c r="S366" s="331"/>
      <c r="T366" s="331"/>
      <c r="U366" s="331"/>
      <c r="V366" s="331"/>
      <c r="W366" s="331"/>
      <c r="X366" s="331"/>
      <c r="Y366" s="331"/>
      <c r="AQ366" s="3"/>
    </row>
    <row r="367" spans="3:43" x14ac:dyDescent="0.3">
      <c r="E367" s="32"/>
      <c r="F367" s="72" t="s">
        <v>212</v>
      </c>
      <c r="G367" s="72" t="s">
        <v>212</v>
      </c>
      <c r="J367" s="330">
        <f t="shared" si="89"/>
        <v>7054.9259415507649</v>
      </c>
      <c r="K367" s="331"/>
      <c r="L367" s="330">
        <f t="shared" si="90"/>
        <v>63.600115369998541</v>
      </c>
      <c r="M367" s="331"/>
      <c r="N367" s="330">
        <f t="shared" si="91"/>
        <v>10.864694220998951</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460.49858136580434</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4.0612003874803424</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75.262259106385741</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3320.7088023962988</v>
      </c>
      <c r="K373" s="83"/>
      <c r="L373" s="126">
        <f t="shared" ref="L373:L379" si="93">(1 - L324) * L161</f>
        <v>17.168785388437943</v>
      </c>
      <c r="M373" s="83"/>
      <c r="N373" s="126">
        <f t="shared" ref="N373:Q379" si="94">(1 - N324) * N161</f>
        <v>684.52723726794284</v>
      </c>
      <c r="O373" s="126">
        <f t="shared" si="94"/>
        <v>20.869195152864087</v>
      </c>
      <c r="P373" s="126">
        <f t="shared" si="94"/>
        <v>117.24744289194837</v>
      </c>
      <c r="Q373" s="126">
        <f t="shared" si="94"/>
        <v>2.0019964068493152</v>
      </c>
      <c r="R373" s="83"/>
      <c r="S373" s="83"/>
      <c r="T373" s="83"/>
      <c r="U373" s="83"/>
      <c r="V373" s="83"/>
      <c r="W373" s="83"/>
      <c r="X373" s="83"/>
      <c r="Y373" s="83"/>
      <c r="AQ373" s="3"/>
    </row>
    <row r="374" spans="5:43" x14ac:dyDescent="0.3">
      <c r="E374" s="32"/>
      <c r="F374" s="72" t="s">
        <v>248</v>
      </c>
      <c r="G374" s="72" t="s">
        <v>207</v>
      </c>
      <c r="J374" s="330">
        <f t="shared" si="92"/>
        <v>17902.296052695012</v>
      </c>
      <c r="K374" s="331"/>
      <c r="L374" s="330">
        <f t="shared" si="93"/>
        <v>129.89598581164606</v>
      </c>
      <c r="M374" s="331"/>
      <c r="N374" s="330">
        <f t="shared" si="94"/>
        <v>4429.9857778842525</v>
      </c>
      <c r="O374" s="330">
        <f t="shared" si="94"/>
        <v>121.91094608859105</v>
      </c>
      <c r="P374" s="330">
        <f t="shared" si="94"/>
        <v>775.40407740051262</v>
      </c>
      <c r="Q374" s="330">
        <f t="shared" si="94"/>
        <v>163.89351445744202</v>
      </c>
      <c r="R374" s="331"/>
      <c r="S374" s="331"/>
      <c r="T374" s="331"/>
      <c r="U374" s="331"/>
      <c r="V374" s="331"/>
      <c r="W374" s="331"/>
      <c r="X374" s="331"/>
      <c r="Y374" s="331"/>
      <c r="AQ374" s="3"/>
    </row>
    <row r="375" spans="5:43" x14ac:dyDescent="0.3">
      <c r="E375" s="32"/>
      <c r="F375" s="72" t="s">
        <v>249</v>
      </c>
      <c r="G375" s="72" t="s">
        <v>207</v>
      </c>
      <c r="J375" s="330">
        <f t="shared" si="92"/>
        <v>18163.802081286904</v>
      </c>
      <c r="K375" s="331"/>
      <c r="L375" s="330">
        <f t="shared" si="93"/>
        <v>90.728059662296033</v>
      </c>
      <c r="M375" s="331"/>
      <c r="N375" s="330">
        <f t="shared" si="94"/>
        <v>4053.3798487483732</v>
      </c>
      <c r="O375" s="330">
        <f t="shared" si="94"/>
        <v>137.51869554367511</v>
      </c>
      <c r="P375" s="330">
        <f t="shared" si="94"/>
        <v>988.6820492390317</v>
      </c>
      <c r="Q375" s="330">
        <f t="shared" si="94"/>
        <v>210.06721651395387</v>
      </c>
      <c r="R375" s="331"/>
      <c r="S375" s="331"/>
      <c r="T375" s="331"/>
      <c r="U375" s="331"/>
      <c r="V375" s="331"/>
      <c r="W375" s="331"/>
      <c r="X375" s="331"/>
      <c r="Y375" s="331"/>
      <c r="AQ375" s="3"/>
    </row>
    <row r="376" spans="5:43" x14ac:dyDescent="0.3">
      <c r="E376" s="32"/>
      <c r="F376" s="72" t="s">
        <v>212</v>
      </c>
      <c r="G376" s="72" t="s">
        <v>212</v>
      </c>
      <c r="J376" s="330">
        <f t="shared" si="92"/>
        <v>14328.147790946488</v>
      </c>
      <c r="K376" s="331"/>
      <c r="L376" s="330">
        <f t="shared" si="93"/>
        <v>183.83039845349623</v>
      </c>
      <c r="M376" s="331"/>
      <c r="N376" s="330">
        <f t="shared" si="94"/>
        <v>58.494172950753068</v>
      </c>
      <c r="O376" s="330">
        <f t="shared" si="94"/>
        <v>0.75595734811084137</v>
      </c>
      <c r="P376" s="330">
        <f t="shared" si="94"/>
        <v>3.7469857188771845</v>
      </c>
      <c r="Q376" s="330">
        <f t="shared" si="94"/>
        <v>0.24815165773171174</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4697.3801315583996</v>
      </c>
      <c r="O377" s="330">
        <f t="shared" si="94"/>
        <v>98.047866790433787</v>
      </c>
      <c r="P377" s="330">
        <f t="shared" si="94"/>
        <v>992.73057196323316</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22.316647797558602</v>
      </c>
      <c r="O378" s="330">
        <f t="shared" si="94"/>
        <v>0</v>
      </c>
      <c r="P378" s="330">
        <f t="shared" si="94"/>
        <v>0</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433.36342009215969</v>
      </c>
      <c r="O379" s="100">
        <f t="shared" si="94"/>
        <v>21.128982494680056</v>
      </c>
      <c r="P379" s="100">
        <f t="shared" si="94"/>
        <v>39.532167481122535</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399026.03800899512</v>
      </c>
      <c r="K382" s="83"/>
      <c r="L382" s="126">
        <f t="shared" ref="L382:L388" si="96">L67+L364+L373</f>
        <v>5316.2160111460344</v>
      </c>
      <c r="M382" s="83"/>
      <c r="N382" s="126">
        <f t="shared" ref="N382:Q388" si="97">N67+N364+N373</f>
        <v>24928.245568196486</v>
      </c>
      <c r="O382" s="126">
        <f t="shared" si="97"/>
        <v>2567.3988613949082</v>
      </c>
      <c r="P382" s="126">
        <f t="shared" si="97"/>
        <v>11924.138453313963</v>
      </c>
      <c r="Q382" s="126">
        <f t="shared" si="97"/>
        <v>3174.8858245358156</v>
      </c>
      <c r="R382" s="83"/>
      <c r="S382" s="83"/>
      <c r="T382" s="83"/>
      <c r="U382" s="83"/>
      <c r="V382" s="83"/>
      <c r="W382" s="83"/>
      <c r="X382" s="83"/>
      <c r="Y382" s="83"/>
      <c r="AQ382" s="3"/>
    </row>
    <row r="383" spans="5:43" x14ac:dyDescent="0.3">
      <c r="E383" s="32"/>
      <c r="F383" s="72" t="s">
        <v>248</v>
      </c>
      <c r="G383" s="72" t="s">
        <v>207</v>
      </c>
      <c r="J383" s="330">
        <f t="shared" si="95"/>
        <v>2299749.8210967407</v>
      </c>
      <c r="K383" s="331"/>
      <c r="L383" s="330">
        <f t="shared" si="96"/>
        <v>43767.323576133618</v>
      </c>
      <c r="M383" s="331"/>
      <c r="N383" s="330">
        <f t="shared" si="97"/>
        <v>178484.3871959073</v>
      </c>
      <c r="O383" s="330">
        <f t="shared" si="97"/>
        <v>18909.385664023524</v>
      </c>
      <c r="P383" s="330">
        <f t="shared" si="97"/>
        <v>85561.156072811966</v>
      </c>
      <c r="Q383" s="330">
        <f t="shared" si="97"/>
        <v>36715.225125918128</v>
      </c>
      <c r="R383" s="331"/>
      <c r="S383" s="331"/>
      <c r="T383" s="331"/>
      <c r="U383" s="331"/>
      <c r="V383" s="331"/>
      <c r="W383" s="331"/>
      <c r="X383" s="331"/>
      <c r="Y383" s="331"/>
      <c r="AQ383" s="3"/>
    </row>
    <row r="384" spans="5:43" x14ac:dyDescent="0.3">
      <c r="E384" s="32"/>
      <c r="F384" s="72" t="s">
        <v>249</v>
      </c>
      <c r="G384" s="72" t="s">
        <v>207</v>
      </c>
      <c r="J384" s="330">
        <f t="shared" si="95"/>
        <v>2603399.6497765584</v>
      </c>
      <c r="K384" s="331"/>
      <c r="L384" s="330">
        <f t="shared" si="96"/>
        <v>34990.179975938627</v>
      </c>
      <c r="M384" s="331"/>
      <c r="N384" s="330">
        <f t="shared" si="97"/>
        <v>153039.27053251993</v>
      </c>
      <c r="O384" s="330">
        <f t="shared" si="97"/>
        <v>18359.097932091492</v>
      </c>
      <c r="P384" s="330">
        <f t="shared" si="97"/>
        <v>94714.513826127746</v>
      </c>
      <c r="Q384" s="330">
        <f t="shared" si="97"/>
        <v>77819.836298015449</v>
      </c>
      <c r="R384" s="331"/>
      <c r="S384" s="331"/>
      <c r="T384" s="331"/>
      <c r="U384" s="331"/>
      <c r="V384" s="331"/>
      <c r="W384" s="331"/>
      <c r="X384" s="331"/>
      <c r="Y384" s="331"/>
      <c r="AQ384" s="3"/>
    </row>
    <row r="385" spans="3:43" x14ac:dyDescent="0.3">
      <c r="E385" s="32"/>
      <c r="F385" s="72" t="s">
        <v>212</v>
      </c>
      <c r="G385" s="72" t="s">
        <v>212</v>
      </c>
      <c r="J385" s="330">
        <f t="shared" si="95"/>
        <v>1513019.9903896833</v>
      </c>
      <c r="K385" s="331"/>
      <c r="L385" s="330">
        <f t="shared" si="96"/>
        <v>63173.308723982394</v>
      </c>
      <c r="M385" s="331"/>
      <c r="N385" s="330">
        <f t="shared" si="97"/>
        <v>4235.710719485015</v>
      </c>
      <c r="O385" s="330">
        <f t="shared" si="97"/>
        <v>326.52431701128489</v>
      </c>
      <c r="P385" s="330">
        <f t="shared" si="97"/>
        <v>475.31346325049486</v>
      </c>
      <c r="Q385" s="330">
        <f t="shared" si="97"/>
        <v>24.817415221871428</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165210.16273796596</v>
      </c>
      <c r="O386" s="330">
        <f t="shared" si="97"/>
        <v>17347.660683251139</v>
      </c>
      <c r="P386" s="330">
        <f t="shared" si="97"/>
        <v>84971.714022137836</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3872.6039664306363</v>
      </c>
      <c r="O387" s="330">
        <f t="shared" si="97"/>
        <v>246.01251666723277</v>
      </c>
      <c r="P387" s="330">
        <f t="shared" si="97"/>
        <v>305.13158521214103</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37126.402709843438</v>
      </c>
      <c r="O388" s="100">
        <f t="shared" si="97"/>
        <v>3621.2764386819499</v>
      </c>
      <c r="P388" s="100">
        <f t="shared" si="97"/>
        <v>10477.693266455382</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11.328913647994009</v>
      </c>
      <c r="M393" s="83"/>
      <c r="N393" s="126">
        <f t="shared" ref="N393:P399" si="99">(1 - N315) * N123</f>
        <v>39.219016512008054</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97.954299238440314</v>
      </c>
      <c r="M394" s="331"/>
      <c r="N394" s="330">
        <f t="shared" si="99"/>
        <v>276.6505779277341</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67.487934435784368</v>
      </c>
      <c r="M395" s="331"/>
      <c r="N395" s="330">
        <f t="shared" si="99"/>
        <v>281.39823482987896</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48.482466410390856</v>
      </c>
      <c r="M396" s="331"/>
      <c r="N396" s="330">
        <f t="shared" si="99"/>
        <v>6.8317607680310806</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797.04510460039978</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7.0292505093976025</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90.098416537852714</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78.014485898019501</v>
      </c>
      <c r="M402" s="83"/>
      <c r="N402" s="126">
        <f t="shared" ref="N402:P408" si="101">(1 - N324) * N170</f>
        <v>819.46543841705852</v>
      </c>
      <c r="O402" s="126">
        <f t="shared" si="101"/>
        <v>57.622292264836403</v>
      </c>
      <c r="P402" s="126">
        <f t="shared" si="101"/>
        <v>381.15404929082956</v>
      </c>
      <c r="Q402" s="83"/>
      <c r="R402" s="83"/>
      <c r="S402" s="83"/>
      <c r="T402" s="83"/>
      <c r="U402" s="83"/>
      <c r="V402" s="83"/>
      <c r="W402" s="83"/>
      <c r="X402" s="83"/>
      <c r="Y402" s="83"/>
      <c r="AQ402" s="3"/>
    </row>
    <row r="403" spans="5:43" x14ac:dyDescent="0.3">
      <c r="E403" s="32"/>
      <c r="F403" s="72" t="s">
        <v>248</v>
      </c>
      <c r="G403" s="72" t="s">
        <v>207</v>
      </c>
      <c r="J403" s="331"/>
      <c r="K403" s="331"/>
      <c r="L403" s="330">
        <f t="shared" si="100"/>
        <v>590.24376646564849</v>
      </c>
      <c r="M403" s="331"/>
      <c r="N403" s="330">
        <f t="shared" si="101"/>
        <v>5303.251704262404</v>
      </c>
      <c r="O403" s="330">
        <f t="shared" si="101"/>
        <v>336.61040180725064</v>
      </c>
      <c r="P403" s="330">
        <f t="shared" si="101"/>
        <v>2520.7236648239195</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412.26579346990428</v>
      </c>
      <c r="M404" s="331"/>
      <c r="N404" s="330">
        <f t="shared" si="101"/>
        <v>4852.4069079888031</v>
      </c>
      <c r="O404" s="330">
        <f t="shared" si="101"/>
        <v>379.70522621756186</v>
      </c>
      <c r="P404" s="330">
        <f t="shared" si="101"/>
        <v>3214.0587225931799</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140.13419734195369</v>
      </c>
      <c r="M405" s="331"/>
      <c r="N405" s="330">
        <f t="shared" si="101"/>
        <v>36.781356915780457</v>
      </c>
      <c r="O405" s="330">
        <f t="shared" si="101"/>
        <v>1.0525423843903159</v>
      </c>
      <c r="P405" s="330">
        <f t="shared" si="101"/>
        <v>3.245744208237912</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8130.3699724791995</v>
      </c>
      <c r="O406" s="330">
        <f t="shared" si="101"/>
        <v>339.57595305817682</v>
      </c>
      <c r="P406" s="330">
        <f t="shared" si="101"/>
        <v>3134.263310761261</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38.626340227540666</v>
      </c>
      <c r="O407" s="330">
        <f t="shared" si="101"/>
        <v>0</v>
      </c>
      <c r="P407" s="330">
        <f t="shared" si="101"/>
        <v>0</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518.79067143785733</v>
      </c>
      <c r="O408" s="100">
        <f t="shared" si="101"/>
        <v>58.339595544966507</v>
      </c>
      <c r="P408" s="100">
        <f t="shared" si="101"/>
        <v>128.51321394325993</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24156.738502403292</v>
      </c>
      <c r="M411" s="83"/>
      <c r="N411" s="126">
        <f t="shared" ref="N411:P417" si="103">N76+N393+N402</f>
        <v>29842.25399860051</v>
      </c>
      <c r="O411" s="126">
        <f t="shared" si="103"/>
        <v>7088.8889805317885</v>
      </c>
      <c r="P411" s="126">
        <f t="shared" si="103"/>
        <v>38763.605786896165</v>
      </c>
      <c r="Q411" s="83"/>
      <c r="R411" s="83"/>
      <c r="S411" s="83"/>
      <c r="T411" s="83"/>
      <c r="U411" s="83"/>
      <c r="V411" s="83"/>
      <c r="W411" s="83"/>
      <c r="X411" s="83"/>
      <c r="Y411" s="83"/>
      <c r="AQ411" s="3"/>
    </row>
    <row r="412" spans="5:43" x14ac:dyDescent="0.3">
      <c r="E412" s="32"/>
      <c r="F412" s="72" t="s">
        <v>248</v>
      </c>
      <c r="G412" s="72" t="s">
        <v>207</v>
      </c>
      <c r="J412" s="331"/>
      <c r="K412" s="331"/>
      <c r="L412" s="330">
        <f t="shared" si="102"/>
        <v>198877.50767877654</v>
      </c>
      <c r="M412" s="331"/>
      <c r="N412" s="330">
        <f t="shared" si="103"/>
        <v>213668.32266287648</v>
      </c>
      <c r="O412" s="330">
        <f t="shared" si="103"/>
        <v>52211.028710004379</v>
      </c>
      <c r="P412" s="330">
        <f t="shared" si="103"/>
        <v>278146.62985197158</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158994.40994470881</v>
      </c>
      <c r="M413" s="331"/>
      <c r="N413" s="330">
        <f t="shared" si="103"/>
        <v>183207.30877341144</v>
      </c>
      <c r="O413" s="330">
        <f t="shared" si="103"/>
        <v>50691.619825910944</v>
      </c>
      <c r="P413" s="330">
        <f t="shared" si="103"/>
        <v>307902.83848416433</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48157.111043363169</v>
      </c>
      <c r="M414" s="331"/>
      <c r="N414" s="330">
        <f t="shared" si="103"/>
        <v>2663.4309009983167</v>
      </c>
      <c r="O414" s="330">
        <f t="shared" si="103"/>
        <v>454.62972752013712</v>
      </c>
      <c r="P414" s="330">
        <f t="shared" si="103"/>
        <v>411.72986399988042</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285950.82975061133</v>
      </c>
      <c r="O415" s="330">
        <f t="shared" si="103"/>
        <v>60081.352126057871</v>
      </c>
      <c r="P415" s="330">
        <f t="shared" si="103"/>
        <v>268273.92369452317</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6702.8220246518167</v>
      </c>
      <c r="O416" s="330">
        <f t="shared" si="103"/>
        <v>852.03215068486224</v>
      </c>
      <c r="P416" s="330">
        <f t="shared" si="103"/>
        <v>963.36585121331063</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44444.986579199343</v>
      </c>
      <c r="O417" s="100">
        <f t="shared" si="103"/>
        <v>9998.7684140689016</v>
      </c>
      <c r="P417" s="100">
        <f t="shared" si="103"/>
        <v>34061.42698921905</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11.372918821550051</v>
      </c>
      <c r="M422" s="83"/>
      <c r="N422" s="126">
        <f t="shared" ref="N422:P428" si="105">(1 - N315) * N132</f>
        <v>19.394179318242585</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98.334785494446976</v>
      </c>
      <c r="M423" s="331"/>
      <c r="N423" s="330">
        <f t="shared" si="105"/>
        <v>136.80636063841993</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67.750079453397007</v>
      </c>
      <c r="M424" s="331"/>
      <c r="N424" s="330">
        <f t="shared" si="105"/>
        <v>139.15412245120015</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20.284387451437919</v>
      </c>
      <c r="M425" s="331"/>
      <c r="N425" s="330">
        <f t="shared" si="105"/>
        <v>2.2259512556663639</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424.27459858654362</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3.7417360962703907</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44.554529971189254</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78.317519454324838</v>
      </c>
      <c r="M431" s="83"/>
      <c r="N431" s="126">
        <f t="shared" ref="N431:P437" si="107">(1 - N324) * N179</f>
        <v>405.23350841540469</v>
      </c>
      <c r="O431" s="126">
        <f t="shared" si="107"/>
        <v>59.999729538122899</v>
      </c>
      <c r="P431" s="126">
        <f t="shared" si="107"/>
        <v>250.30375792125156</v>
      </c>
      <c r="Q431" s="83"/>
      <c r="R431" s="83"/>
      <c r="S431" s="83"/>
      <c r="T431" s="83"/>
      <c r="U431" s="83"/>
      <c r="V431" s="83"/>
      <c r="W431" s="83"/>
      <c r="X431" s="83"/>
      <c r="Y431" s="83"/>
      <c r="AQ431" s="3"/>
    </row>
    <row r="432" spans="3:43" x14ac:dyDescent="0.3">
      <c r="E432" s="32"/>
      <c r="F432" s="72" t="s">
        <v>248</v>
      </c>
      <c r="G432" s="72" t="s">
        <v>207</v>
      </c>
      <c r="J432" s="331"/>
      <c r="K432" s="331"/>
      <c r="L432" s="330">
        <f t="shared" si="106"/>
        <v>592.53646461753976</v>
      </c>
      <c r="M432" s="331"/>
      <c r="N432" s="330">
        <f t="shared" si="107"/>
        <v>2622.5087641029818</v>
      </c>
      <c r="O432" s="330">
        <f t="shared" si="107"/>
        <v>350.49860521565375</v>
      </c>
      <c r="P432" s="330">
        <f t="shared" si="107"/>
        <v>1655.3585280292514</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413.86716747243935</v>
      </c>
      <c r="M433" s="331"/>
      <c r="N433" s="330">
        <f t="shared" si="107"/>
        <v>2399.5616940011696</v>
      </c>
      <c r="O433" s="330">
        <f t="shared" si="107"/>
        <v>395.37147832572714</v>
      </c>
      <c r="P433" s="330">
        <f t="shared" si="107"/>
        <v>2110.6714671967311</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58.630192821032566</v>
      </c>
      <c r="M434" s="331"/>
      <c r="N434" s="330">
        <f t="shared" si="107"/>
        <v>11.984246871599725</v>
      </c>
      <c r="O434" s="330">
        <f t="shared" si="107"/>
        <v>0.69574835578342908</v>
      </c>
      <c r="P434" s="330">
        <f t="shared" si="107"/>
        <v>1.0107000952234511</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4327.872333101046</v>
      </c>
      <c r="O435" s="330">
        <f t="shared" si="107"/>
        <v>357.66736139622208</v>
      </c>
      <c r="P435" s="330">
        <f t="shared" si="107"/>
        <v>1982.3697094994973</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20.561163854237989</v>
      </c>
      <c r="O436" s="330">
        <f t="shared" si="107"/>
        <v>0</v>
      </c>
      <c r="P436" s="330">
        <f t="shared" si="107"/>
        <v>0</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256.5469561791956</v>
      </c>
      <c r="O437" s="100">
        <f t="shared" si="107"/>
        <v>60.746628023292637</v>
      </c>
      <c r="P437" s="100">
        <f t="shared" si="107"/>
        <v>84.394591773026917</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24250.571106603114</v>
      </c>
      <c r="M440" s="83"/>
      <c r="N440" s="126">
        <f t="shared" ref="N440:P446" si="109">N85+N422+N431</f>
        <v>14757.280441547889</v>
      </c>
      <c r="O440" s="126">
        <f t="shared" si="109"/>
        <v>7381.3693423168888</v>
      </c>
      <c r="P440" s="126">
        <f t="shared" si="109"/>
        <v>25456.049114762809</v>
      </c>
      <c r="Q440" s="83"/>
      <c r="R440" s="83"/>
      <c r="S440" s="83"/>
      <c r="T440" s="83"/>
      <c r="U440" s="83"/>
      <c r="V440" s="83"/>
      <c r="W440" s="83"/>
      <c r="X440" s="83"/>
      <c r="Y440" s="83"/>
      <c r="AQ440" s="3"/>
    </row>
    <row r="441" spans="3:43" x14ac:dyDescent="0.3">
      <c r="E441" s="32"/>
      <c r="F441" s="72" t="s">
        <v>248</v>
      </c>
      <c r="G441" s="72" t="s">
        <v>207</v>
      </c>
      <c r="J441" s="331"/>
      <c r="K441" s="331"/>
      <c r="L441" s="330">
        <f t="shared" si="108"/>
        <v>199650.01239668007</v>
      </c>
      <c r="M441" s="331"/>
      <c r="N441" s="330">
        <f t="shared" si="109"/>
        <v>105661.03214452509</v>
      </c>
      <c r="O441" s="330">
        <f t="shared" si="109"/>
        <v>54365.202743229085</v>
      </c>
      <c r="P441" s="330">
        <f t="shared" si="109"/>
        <v>182658.81428943516</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159611.99578051365</v>
      </c>
      <c r="M442" s="331"/>
      <c r="N442" s="330">
        <f t="shared" si="109"/>
        <v>90597.769010252392</v>
      </c>
      <c r="O442" s="330">
        <f t="shared" si="109"/>
        <v>52783.104591277224</v>
      </c>
      <c r="P442" s="330">
        <f t="shared" si="109"/>
        <v>202199.70820354798</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20148.263305683238</v>
      </c>
      <c r="M443" s="331"/>
      <c r="N443" s="330">
        <f t="shared" si="109"/>
        <v>867.80956765944313</v>
      </c>
      <c r="O443" s="330">
        <f t="shared" si="109"/>
        <v>300.51795547941265</v>
      </c>
      <c r="P443" s="330">
        <f t="shared" si="109"/>
        <v>128.20955258730453</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152214.31360368821</v>
      </c>
      <c r="O444" s="330">
        <f t="shared" si="109"/>
        <v>63282.274526555928</v>
      </c>
      <c r="P444" s="330">
        <f t="shared" si="109"/>
        <v>169678.82001318914</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3567.9751465658355</v>
      </c>
      <c r="O445" s="330">
        <f t="shared" si="109"/>
        <v>897.42541665779731</v>
      </c>
      <c r="P445" s="330">
        <f t="shared" si="109"/>
        <v>609.31296871404868</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21978.471572584145</v>
      </c>
      <c r="O446" s="100">
        <f t="shared" si="109"/>
        <v>10411.307446797966</v>
      </c>
      <c r="P446" s="100">
        <f t="shared" si="109"/>
        <v>22368.129609077179</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36.92091819606393</v>
      </c>
      <c r="M451" s="83"/>
      <c r="N451" s="126">
        <f t="shared" ref="N451:P457" si="111">(1 - N315) * N141</f>
        <v>22.534842485586925</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319.23296279829975</v>
      </c>
      <c r="M452" s="331"/>
      <c r="N452" s="330">
        <f t="shared" si="111"/>
        <v>158.96056942782516</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219.94311051758473</v>
      </c>
      <c r="M453" s="331"/>
      <c r="N453" s="330">
        <f t="shared" si="111"/>
        <v>161.68852412889947</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20.399366458943753</v>
      </c>
      <c r="M454" s="331"/>
      <c r="N454" s="330">
        <f t="shared" si="111"/>
        <v>1.4022637871803469</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493.6317096984792</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4.3534060077973455</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51.769621103569946</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254.24913115643551</v>
      </c>
      <c r="M460" s="83"/>
      <c r="N460" s="126">
        <f t="shared" ref="N460:P466" si="113">(1 - N324) * N188</f>
        <v>470.85639109427376</v>
      </c>
      <c r="O460" s="126">
        <f t="shared" si="113"/>
        <v>231.1242088349855</v>
      </c>
      <c r="P460" s="126">
        <f t="shared" si="113"/>
        <v>684.3961474026396</v>
      </c>
      <c r="Q460" s="83"/>
      <c r="R460" s="83"/>
      <c r="S460" s="83"/>
      <c r="T460" s="83"/>
      <c r="U460" s="83"/>
      <c r="V460" s="83"/>
      <c r="W460" s="83"/>
      <c r="X460" s="83"/>
      <c r="Y460" s="83"/>
      <c r="AQ460" s="3"/>
    </row>
    <row r="461" spans="3:43" x14ac:dyDescent="0.3">
      <c r="E461" s="32"/>
      <c r="F461" s="72" t="s">
        <v>248</v>
      </c>
      <c r="G461" s="72" t="s">
        <v>207</v>
      </c>
      <c r="J461" s="331"/>
      <c r="K461" s="331"/>
      <c r="L461" s="330">
        <f t="shared" si="112"/>
        <v>1923.6038418629489</v>
      </c>
      <c r="M461" s="331"/>
      <c r="N461" s="330">
        <f t="shared" si="113"/>
        <v>3047.1937454215049</v>
      </c>
      <c r="O461" s="330">
        <f t="shared" si="113"/>
        <v>1350.151299878147</v>
      </c>
      <c r="P461" s="330">
        <f t="shared" si="113"/>
        <v>4526.1845389862419</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1343.573806693541</v>
      </c>
      <c r="M462" s="331"/>
      <c r="N462" s="330">
        <f t="shared" si="113"/>
        <v>2788.1429743150584</v>
      </c>
      <c r="O462" s="330">
        <f t="shared" si="113"/>
        <v>1523.0055339814642</v>
      </c>
      <c r="P462" s="330">
        <f t="shared" si="113"/>
        <v>5771.1295770341039</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58.962529274207547</v>
      </c>
      <c r="M463" s="331"/>
      <c r="N463" s="330">
        <f t="shared" si="113"/>
        <v>7.5496151867183912</v>
      </c>
      <c r="O463" s="330">
        <f t="shared" si="113"/>
        <v>1.3290577565606532</v>
      </c>
      <c r="P463" s="330">
        <f t="shared" si="113"/>
        <v>1.0846537607276059</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5035.3592373021529</v>
      </c>
      <c r="O464" s="330">
        <f t="shared" si="113"/>
        <v>1411.7346589248139</v>
      </c>
      <c r="P464" s="330">
        <f t="shared" si="113"/>
        <v>5037.1711677066478</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23.922342983933657</v>
      </c>
      <c r="O465" s="330">
        <f t="shared" si="113"/>
        <v>0</v>
      </c>
      <c r="P465" s="330">
        <f t="shared" si="113"/>
        <v>0</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298.09177036003672</v>
      </c>
      <c r="O466" s="100">
        <f t="shared" si="113"/>
        <v>234.0013271619143</v>
      </c>
      <c r="P466" s="100">
        <f t="shared" si="113"/>
        <v>230.75695687017961</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78726.786507801211</v>
      </c>
      <c r="M469" s="83"/>
      <c r="N469" s="126">
        <f t="shared" ref="N469:P475" si="115">N94+N451+N460</f>
        <v>17147.051432751665</v>
      </c>
      <c r="O469" s="126">
        <f t="shared" si="115"/>
        <v>28433.680659807538</v>
      </c>
      <c r="P469" s="126">
        <f t="shared" si="115"/>
        <v>69603.517290048883</v>
      </c>
      <c r="Q469" s="83"/>
      <c r="R469" s="83"/>
      <c r="S469" s="83"/>
      <c r="T469" s="83"/>
      <c r="U469" s="83"/>
      <c r="V469" s="83"/>
      <c r="W469" s="83"/>
      <c r="X469" s="83"/>
      <c r="Y469" s="83"/>
      <c r="AQ469" s="3"/>
    </row>
    <row r="470" spans="3:43" x14ac:dyDescent="0.3">
      <c r="E470" s="32"/>
      <c r="F470" s="72" t="s">
        <v>248</v>
      </c>
      <c r="G470" s="72" t="s">
        <v>207</v>
      </c>
      <c r="J470" s="331"/>
      <c r="K470" s="331"/>
      <c r="L470" s="330">
        <f t="shared" si="114"/>
        <v>648141.59770256083</v>
      </c>
      <c r="M470" s="331"/>
      <c r="N470" s="330">
        <f t="shared" si="115"/>
        <v>122771.61498665414</v>
      </c>
      <c r="O470" s="330">
        <f t="shared" si="115"/>
        <v>209419.51853630817</v>
      </c>
      <c r="P470" s="330">
        <f t="shared" si="115"/>
        <v>499437.12322590669</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518162.62225985603</v>
      </c>
      <c r="M471" s="331"/>
      <c r="N471" s="330">
        <f t="shared" si="115"/>
        <v>105269.03050088053</v>
      </c>
      <c r="O471" s="330">
        <f t="shared" si="115"/>
        <v>203325.13800352876</v>
      </c>
      <c r="P471" s="330">
        <f t="shared" si="115"/>
        <v>552867.05421331932</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20262.470713888182</v>
      </c>
      <c r="M472" s="331"/>
      <c r="N472" s="330">
        <f t="shared" si="115"/>
        <v>546.68669307099356</v>
      </c>
      <c r="O472" s="330">
        <f t="shared" si="115"/>
        <v>574.06635085169864</v>
      </c>
      <c r="P472" s="330">
        <f t="shared" si="115"/>
        <v>137.59073936198536</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177097.12557642654</v>
      </c>
      <c r="O473" s="330">
        <f t="shared" si="115"/>
        <v>249778.95633525791</v>
      </c>
      <c r="P473" s="330">
        <f t="shared" si="115"/>
        <v>431151.29122746451</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4151.2399696530774</v>
      </c>
      <c r="O474" s="330">
        <f t="shared" si="115"/>
        <v>3542.1922748281177</v>
      </c>
      <c r="P474" s="330">
        <f t="shared" si="115"/>
        <v>1548.2549513385443</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25537.630999227749</v>
      </c>
      <c r="O475" s="100">
        <f t="shared" si="115"/>
        <v>40105.267392081223</v>
      </c>
      <c r="P475" s="100">
        <f t="shared" si="115"/>
        <v>61160.335171122817</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165.19190239670218</v>
      </c>
      <c r="L481" s="131">
        <f t="shared" si="116"/>
        <v>0</v>
      </c>
      <c r="M481" s="131">
        <f t="shared" si="116"/>
        <v>156.53988635874572</v>
      </c>
      <c r="N481" s="131">
        <f t="shared" si="116"/>
        <v>0</v>
      </c>
      <c r="O481" s="131">
        <f t="shared" si="116"/>
        <v>0</v>
      </c>
      <c r="P481" s="131">
        <f t="shared" si="116"/>
        <v>0</v>
      </c>
      <c r="Q481" s="131">
        <f t="shared" si="116"/>
        <v>0</v>
      </c>
      <c r="R481" s="131">
        <f t="shared" si="116"/>
        <v>213.54227680548701</v>
      </c>
      <c r="S481" s="131">
        <f t="shared" si="116"/>
        <v>0</v>
      </c>
      <c r="T481" s="131">
        <f t="shared" si="116"/>
        <v>3876.9550361278475</v>
      </c>
      <c r="U481" s="131">
        <f t="shared" si="116"/>
        <v>0</v>
      </c>
      <c r="V481" s="131">
        <f t="shared" si="116"/>
        <v>1009.8765349498661</v>
      </c>
      <c r="W481" s="131">
        <f t="shared" si="116"/>
        <v>0</v>
      </c>
      <c r="X481" s="131">
        <f t="shared" si="116"/>
        <v>33793.195270070777</v>
      </c>
      <c r="Y481" s="131">
        <f t="shared" si="116"/>
        <v>0</v>
      </c>
      <c r="AQ481" s="3"/>
    </row>
    <row r="482" spans="5:43" x14ac:dyDescent="0.3">
      <c r="E482" s="352"/>
      <c r="F482" s="2" t="s">
        <v>984</v>
      </c>
      <c r="G482" t="s">
        <v>207</v>
      </c>
      <c r="J482" s="364">
        <f t="shared" ref="J482:Y482" si="117">J382</f>
        <v>399026.03800899512</v>
      </c>
      <c r="K482" s="364">
        <f t="shared" si="117"/>
        <v>0</v>
      </c>
      <c r="L482" s="364">
        <f t="shared" si="117"/>
        <v>5316.2160111460344</v>
      </c>
      <c r="M482" s="364">
        <f t="shared" si="117"/>
        <v>0</v>
      </c>
      <c r="N482" s="364">
        <f t="shared" si="117"/>
        <v>24928.245568196486</v>
      </c>
      <c r="O482" s="364">
        <f t="shared" si="117"/>
        <v>2567.3988613949082</v>
      </c>
      <c r="P482" s="364">
        <f t="shared" si="117"/>
        <v>11924.138453313963</v>
      </c>
      <c r="Q482" s="364">
        <f t="shared" si="117"/>
        <v>3174.8858245358156</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24156.738502403292</v>
      </c>
      <c r="M483" s="364">
        <f t="shared" si="118"/>
        <v>0</v>
      </c>
      <c r="N483" s="364">
        <f t="shared" si="118"/>
        <v>29842.25399860051</v>
      </c>
      <c r="O483" s="364">
        <f t="shared" si="118"/>
        <v>7088.8889805317885</v>
      </c>
      <c r="P483" s="364">
        <f t="shared" si="118"/>
        <v>38763.605786896165</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24250.571106603114</v>
      </c>
      <c r="M484" s="101">
        <f t="shared" si="119"/>
        <v>0</v>
      </c>
      <c r="N484" s="101">
        <f t="shared" si="119"/>
        <v>14757.280441547889</v>
      </c>
      <c r="O484" s="101">
        <f t="shared" si="119"/>
        <v>7381.3693423168888</v>
      </c>
      <c r="P484" s="101">
        <f t="shared" si="119"/>
        <v>25456.049114762809</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78726.786507801211</v>
      </c>
      <c r="M485" s="101">
        <f t="shared" si="120"/>
        <v>0</v>
      </c>
      <c r="N485" s="101">
        <f t="shared" si="120"/>
        <v>17147.051432751665</v>
      </c>
      <c r="O485" s="101">
        <f t="shared" si="120"/>
        <v>28433.680659807538</v>
      </c>
      <c r="P485" s="101">
        <f t="shared" si="120"/>
        <v>69603.517290048883</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8808.4021048564955</v>
      </c>
      <c r="L487" s="131">
        <f t="shared" si="121"/>
        <v>0</v>
      </c>
      <c r="M487" s="131">
        <f t="shared" si="121"/>
        <v>5298.9984308607791</v>
      </c>
      <c r="N487" s="131">
        <f t="shared" si="121"/>
        <v>0</v>
      </c>
      <c r="O487" s="131">
        <f t="shared" si="121"/>
        <v>0</v>
      </c>
      <c r="P487" s="131">
        <f t="shared" si="121"/>
        <v>0</v>
      </c>
      <c r="Q487" s="131">
        <f t="shared" si="121"/>
        <v>0</v>
      </c>
      <c r="R487" s="131">
        <f t="shared" si="121"/>
        <v>2164.1290352000869</v>
      </c>
      <c r="S487" s="131">
        <f t="shared" si="121"/>
        <v>0</v>
      </c>
      <c r="T487" s="131">
        <f t="shared" si="121"/>
        <v>33921.821572012675</v>
      </c>
      <c r="U487" s="131">
        <f t="shared" si="121"/>
        <v>0</v>
      </c>
      <c r="V487" s="131">
        <f t="shared" si="121"/>
        <v>8451.4185101941748</v>
      </c>
      <c r="W487" s="131">
        <f t="shared" si="121"/>
        <v>0</v>
      </c>
      <c r="X487" s="131">
        <f t="shared" si="121"/>
        <v>286631.34560870531</v>
      </c>
      <c r="Y487" s="131">
        <f t="shared" si="121"/>
        <v>0</v>
      </c>
      <c r="AQ487" s="3"/>
    </row>
    <row r="488" spans="5:43" x14ac:dyDescent="0.3">
      <c r="E488" s="352"/>
      <c r="F488" s="2" t="s">
        <v>984</v>
      </c>
      <c r="G488" t="s">
        <v>207</v>
      </c>
      <c r="J488" s="364">
        <f t="shared" ref="J488:Y488" si="122">J383</f>
        <v>2299749.8210967407</v>
      </c>
      <c r="K488" s="364">
        <f t="shared" si="122"/>
        <v>0</v>
      </c>
      <c r="L488" s="364">
        <f t="shared" si="122"/>
        <v>43767.323576133618</v>
      </c>
      <c r="M488" s="364">
        <f t="shared" si="122"/>
        <v>0</v>
      </c>
      <c r="N488" s="364">
        <f t="shared" si="122"/>
        <v>178484.3871959073</v>
      </c>
      <c r="O488" s="364">
        <f t="shared" si="122"/>
        <v>18909.385664023524</v>
      </c>
      <c r="P488" s="364">
        <f t="shared" si="122"/>
        <v>85561.156072811966</v>
      </c>
      <c r="Q488" s="364">
        <f t="shared" si="122"/>
        <v>36715.225125918128</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198877.50767877654</v>
      </c>
      <c r="M489" s="364">
        <f t="shared" si="123"/>
        <v>0</v>
      </c>
      <c r="N489" s="364">
        <f t="shared" si="123"/>
        <v>213668.32266287648</v>
      </c>
      <c r="O489" s="364">
        <f t="shared" si="123"/>
        <v>52211.028710004379</v>
      </c>
      <c r="P489" s="364">
        <f t="shared" si="123"/>
        <v>278146.62985197158</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199650.01239668007</v>
      </c>
      <c r="M490" s="101">
        <f t="shared" si="124"/>
        <v>0</v>
      </c>
      <c r="N490" s="101">
        <f t="shared" si="124"/>
        <v>105661.03214452509</v>
      </c>
      <c r="O490" s="101">
        <f t="shared" si="124"/>
        <v>54365.202743229085</v>
      </c>
      <c r="P490" s="101">
        <f t="shared" si="124"/>
        <v>182658.81428943516</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648141.59770256083</v>
      </c>
      <c r="M491" s="101">
        <f t="shared" si="125"/>
        <v>0</v>
      </c>
      <c r="N491" s="101">
        <f t="shared" si="125"/>
        <v>122771.61498665414</v>
      </c>
      <c r="O491" s="101">
        <f t="shared" si="125"/>
        <v>209419.51853630817</v>
      </c>
      <c r="P491" s="101">
        <f t="shared" si="125"/>
        <v>499437.12322590669</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28839.73547014036</v>
      </c>
      <c r="L493" s="131">
        <f t="shared" si="126"/>
        <v>0</v>
      </c>
      <c r="M493" s="131">
        <f t="shared" si="126"/>
        <v>11694.133459357819</v>
      </c>
      <c r="N493" s="131">
        <f t="shared" si="126"/>
        <v>0</v>
      </c>
      <c r="O493" s="131">
        <f t="shared" si="126"/>
        <v>0</v>
      </c>
      <c r="P493" s="131">
        <f t="shared" si="126"/>
        <v>0</v>
      </c>
      <c r="Q493" s="131">
        <f t="shared" si="126"/>
        <v>0</v>
      </c>
      <c r="R493" s="131">
        <f t="shared" si="126"/>
        <v>923.11710894429746</v>
      </c>
      <c r="S493" s="131">
        <f t="shared" si="126"/>
        <v>0</v>
      </c>
      <c r="T493" s="131">
        <f t="shared" si="126"/>
        <v>29109.920451841823</v>
      </c>
      <c r="U493" s="131">
        <f t="shared" si="126"/>
        <v>0</v>
      </c>
      <c r="V493" s="131">
        <f t="shared" si="126"/>
        <v>8337.0882839597562</v>
      </c>
      <c r="W493" s="131">
        <f t="shared" si="126"/>
        <v>0</v>
      </c>
      <c r="X493" s="131">
        <f t="shared" si="126"/>
        <v>235380.55373712431</v>
      </c>
      <c r="Y493" s="131">
        <f t="shared" si="126"/>
        <v>0</v>
      </c>
      <c r="AQ493" s="3"/>
    </row>
    <row r="494" spans="5:43" x14ac:dyDescent="0.3">
      <c r="E494" s="352"/>
      <c r="F494" s="2" t="s">
        <v>984</v>
      </c>
      <c r="G494" t="s">
        <v>207</v>
      </c>
      <c r="J494" s="364">
        <f t="shared" ref="J494:Y494" si="127">J384</f>
        <v>2603399.6497765584</v>
      </c>
      <c r="K494" s="364">
        <f t="shared" si="127"/>
        <v>0</v>
      </c>
      <c r="L494" s="364">
        <f t="shared" si="127"/>
        <v>34990.179975938627</v>
      </c>
      <c r="M494" s="364">
        <f t="shared" si="127"/>
        <v>0</v>
      </c>
      <c r="N494" s="364">
        <f t="shared" si="127"/>
        <v>153039.27053251993</v>
      </c>
      <c r="O494" s="364">
        <f t="shared" si="127"/>
        <v>18359.097932091492</v>
      </c>
      <c r="P494" s="364">
        <f t="shared" si="127"/>
        <v>94714.513826127746</v>
      </c>
      <c r="Q494" s="364">
        <f t="shared" si="127"/>
        <v>77819.836298015449</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158994.40994470881</v>
      </c>
      <c r="M495" s="364">
        <f t="shared" si="128"/>
        <v>0</v>
      </c>
      <c r="N495" s="364">
        <f t="shared" si="128"/>
        <v>183207.30877341144</v>
      </c>
      <c r="O495" s="364">
        <f t="shared" si="128"/>
        <v>50691.619825910944</v>
      </c>
      <c r="P495" s="364">
        <f t="shared" si="128"/>
        <v>307902.83848416433</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159611.99578051365</v>
      </c>
      <c r="M496" s="101">
        <f t="shared" si="129"/>
        <v>0</v>
      </c>
      <c r="N496" s="101">
        <f t="shared" si="129"/>
        <v>90597.769010252392</v>
      </c>
      <c r="O496" s="101">
        <f t="shared" si="129"/>
        <v>52783.104591277224</v>
      </c>
      <c r="P496" s="101">
        <f t="shared" si="129"/>
        <v>202199.70820354798</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518162.62225985603</v>
      </c>
      <c r="M497" s="101">
        <f t="shared" si="130"/>
        <v>0</v>
      </c>
      <c r="N497" s="101">
        <f t="shared" si="130"/>
        <v>105269.03050088053</v>
      </c>
      <c r="O497" s="101">
        <f t="shared" si="130"/>
        <v>203325.13800352876</v>
      </c>
      <c r="P497" s="101">
        <f t="shared" si="130"/>
        <v>552867.05421331932</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861.47352056885472</v>
      </c>
      <c r="U499" s="131">
        <f t="shared" si="131"/>
        <v>0</v>
      </c>
      <c r="V499" s="131">
        <f t="shared" si="131"/>
        <v>112.05985177756838</v>
      </c>
      <c r="W499" s="131">
        <f t="shared" si="131"/>
        <v>0</v>
      </c>
      <c r="X499" s="131">
        <f t="shared" si="131"/>
        <v>284.55473026719613</v>
      </c>
      <c r="Y499" s="131">
        <f t="shared" si="131"/>
        <v>0</v>
      </c>
      <c r="AQ499" s="3"/>
    </row>
    <row r="500" spans="5:43" x14ac:dyDescent="0.3">
      <c r="E500" s="352"/>
      <c r="F500" s="2" t="s">
        <v>984</v>
      </c>
      <c r="G500" t="s">
        <v>212</v>
      </c>
      <c r="J500" s="364">
        <f t="shared" ref="J500:Y500" si="132">J385</f>
        <v>1513019.9903896833</v>
      </c>
      <c r="K500" s="364">
        <f t="shared" si="132"/>
        <v>0</v>
      </c>
      <c r="L500" s="364">
        <f t="shared" si="132"/>
        <v>63173.308723982394</v>
      </c>
      <c r="M500" s="364">
        <f t="shared" si="132"/>
        <v>0</v>
      </c>
      <c r="N500" s="364">
        <f t="shared" si="132"/>
        <v>4235.710719485015</v>
      </c>
      <c r="O500" s="364">
        <f t="shared" si="132"/>
        <v>326.52431701128489</v>
      </c>
      <c r="P500" s="364">
        <f t="shared" si="132"/>
        <v>475.31346325049486</v>
      </c>
      <c r="Q500" s="364">
        <f t="shared" si="132"/>
        <v>24.817415221871428</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48157.111043363169</v>
      </c>
      <c r="M501" s="364">
        <f t="shared" si="133"/>
        <v>0</v>
      </c>
      <c r="N501" s="364">
        <f t="shared" si="133"/>
        <v>2663.4309009983167</v>
      </c>
      <c r="O501" s="364">
        <f t="shared" si="133"/>
        <v>454.62972752013712</v>
      </c>
      <c r="P501" s="364">
        <f t="shared" si="133"/>
        <v>411.72986399988042</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20148.263305683238</v>
      </c>
      <c r="M502" s="101">
        <f t="shared" si="134"/>
        <v>0</v>
      </c>
      <c r="N502" s="101">
        <f t="shared" si="134"/>
        <v>867.80956765944313</v>
      </c>
      <c r="O502" s="101">
        <f t="shared" si="134"/>
        <v>300.51795547941265</v>
      </c>
      <c r="P502" s="101">
        <f t="shared" si="134"/>
        <v>128.20955258730453</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20262.470713888182</v>
      </c>
      <c r="M503" s="101">
        <f t="shared" si="135"/>
        <v>0</v>
      </c>
      <c r="N503" s="101">
        <f t="shared" si="135"/>
        <v>546.68669307099356</v>
      </c>
      <c r="O503" s="101">
        <f t="shared" si="135"/>
        <v>574.06635085169864</v>
      </c>
      <c r="P503" s="101">
        <f t="shared" si="135"/>
        <v>137.59073936198536</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165210.16273796596</v>
      </c>
      <c r="O506" s="364">
        <f t="shared" si="137"/>
        <v>17347.660683251139</v>
      </c>
      <c r="P506" s="364">
        <f t="shared" si="137"/>
        <v>84971.714022137836</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285950.82975061133</v>
      </c>
      <c r="O507" s="364">
        <f t="shared" si="138"/>
        <v>60081.352126057871</v>
      </c>
      <c r="P507" s="364">
        <f t="shared" si="138"/>
        <v>268273.92369452317</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152214.31360368821</v>
      </c>
      <c r="O508" s="101">
        <f t="shared" si="139"/>
        <v>63282.274526555928</v>
      </c>
      <c r="P508" s="101">
        <f t="shared" si="139"/>
        <v>169678.82001318914</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177097.12557642654</v>
      </c>
      <c r="O509" s="101">
        <f t="shared" si="140"/>
        <v>249778.95633525791</v>
      </c>
      <c r="P509" s="101">
        <f t="shared" si="140"/>
        <v>431151.29122746451</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3872.6039664306363</v>
      </c>
      <c r="O512" s="364">
        <f t="shared" si="142"/>
        <v>246.01251666723277</v>
      </c>
      <c r="P512" s="364">
        <f t="shared" si="142"/>
        <v>305.13158521214103</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6702.8220246518167</v>
      </c>
      <c r="O513" s="364">
        <f t="shared" si="143"/>
        <v>852.03215068486224</v>
      </c>
      <c r="P513" s="364">
        <f t="shared" si="143"/>
        <v>963.36585121331063</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3567.9751465658355</v>
      </c>
      <c r="O514" s="101">
        <f t="shared" si="144"/>
        <v>897.42541665779731</v>
      </c>
      <c r="P514" s="101">
        <f t="shared" si="144"/>
        <v>609.31296871404868</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4151.2399696530774</v>
      </c>
      <c r="O515" s="101">
        <f t="shared" si="145"/>
        <v>3542.1922748281177</v>
      </c>
      <c r="P515" s="101">
        <f t="shared" si="145"/>
        <v>1548.2549513385443</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5862.5215537947424</v>
      </c>
      <c r="U517" s="131">
        <f t="shared" si="146"/>
        <v>0</v>
      </c>
      <c r="V517" s="131">
        <f t="shared" si="146"/>
        <v>1979.3774685899657</v>
      </c>
      <c r="W517" s="131">
        <f t="shared" si="146"/>
        <v>0</v>
      </c>
      <c r="X517" s="131">
        <f t="shared" si="146"/>
        <v>9248.3392978234697</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37126.402709843438</v>
      </c>
      <c r="O518" s="364">
        <f t="shared" si="147"/>
        <v>3621.2764386819499</v>
      </c>
      <c r="P518" s="364">
        <f t="shared" si="147"/>
        <v>10477.693266455382</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44444.986579199343</v>
      </c>
      <c r="O519" s="364">
        <f t="shared" si="148"/>
        <v>9998.7684140689016</v>
      </c>
      <c r="P519" s="364">
        <f t="shared" si="148"/>
        <v>34061.42698921905</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21978.471572584145</v>
      </c>
      <c r="O520" s="101">
        <f t="shared" si="149"/>
        <v>10411.307446797966</v>
      </c>
      <c r="P520" s="101">
        <f t="shared" si="149"/>
        <v>22368.129609077179</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25537.630999227749</v>
      </c>
      <c r="O521" s="364">
        <f t="shared" si="150"/>
        <v>40105.267392081223</v>
      </c>
      <c r="P521" s="364">
        <f t="shared" si="150"/>
        <v>61160.335171122817</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165.19190239670218</v>
      </c>
      <c r="L527" s="131">
        <f t="shared" si="151"/>
        <v>0</v>
      </c>
      <c r="M527" s="131">
        <f t="shared" si="151"/>
        <v>156.53988635874572</v>
      </c>
      <c r="N527" s="131">
        <f t="shared" si="151"/>
        <v>0</v>
      </c>
      <c r="O527" s="131">
        <f t="shared" si="151"/>
        <v>0</v>
      </c>
      <c r="P527" s="131">
        <f t="shared" si="151"/>
        <v>0</v>
      </c>
      <c r="Q527" s="131">
        <f t="shared" si="151"/>
        <v>0</v>
      </c>
      <c r="R527" s="131">
        <f t="shared" si="151"/>
        <v>208.43531675970064</v>
      </c>
      <c r="S527" s="131">
        <f t="shared" si="151"/>
        <v>0</v>
      </c>
      <c r="T527" s="131">
        <f t="shared" si="151"/>
        <v>3867.6374675826655</v>
      </c>
      <c r="U527" s="131">
        <f t="shared" si="151"/>
        <v>0</v>
      </c>
      <c r="V527" s="131">
        <f t="shared" si="151"/>
        <v>1009.8765349498661</v>
      </c>
      <c r="W527" s="131">
        <f t="shared" si="151"/>
        <v>0</v>
      </c>
      <c r="X527" s="131">
        <f t="shared" si="151"/>
        <v>33792.907334020259</v>
      </c>
      <c r="Y527" s="131">
        <f t="shared" si="151"/>
        <v>0</v>
      </c>
      <c r="AQ527" s="3"/>
    </row>
    <row r="528" spans="3:43" x14ac:dyDescent="0.3">
      <c r="E528" s="352"/>
      <c r="F528" s="2" t="s">
        <v>984</v>
      </c>
      <c r="G528" t="s">
        <v>207</v>
      </c>
      <c r="J528" s="364">
        <f>J67</f>
        <v>394056.97768915538</v>
      </c>
      <c r="K528" s="364">
        <f t="shared" ref="K528:Y528" si="152">K67</f>
        <v>0</v>
      </c>
      <c r="L528" s="364">
        <f t="shared" si="152"/>
        <v>5296.5540517673098</v>
      </c>
      <c r="M528" s="364">
        <f t="shared" si="152"/>
        <v>0</v>
      </c>
      <c r="N528" s="364">
        <f t="shared" si="152"/>
        <v>24210.957358027488</v>
      </c>
      <c r="O528" s="364">
        <f t="shared" si="152"/>
        <v>2546.5296662420442</v>
      </c>
      <c r="P528" s="364">
        <f t="shared" si="152"/>
        <v>11806.891010422014</v>
      </c>
      <c r="Q528" s="364">
        <f t="shared" si="152"/>
        <v>3172.0310077756471</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24067.395102857277</v>
      </c>
      <c r="M529" s="364">
        <f t="shared" si="153"/>
        <v>0</v>
      </c>
      <c r="N529" s="364">
        <f t="shared" si="153"/>
        <v>28983.569543671445</v>
      </c>
      <c r="O529" s="364">
        <f t="shared" si="153"/>
        <v>7031.2666882669519</v>
      </c>
      <c r="P529" s="364">
        <f t="shared" si="153"/>
        <v>38382.451737605334</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24160.880668327238</v>
      </c>
      <c r="M530" s="101">
        <f t="shared" si="154"/>
        <v>0</v>
      </c>
      <c r="N530" s="101">
        <f t="shared" si="154"/>
        <v>14332.652753814244</v>
      </c>
      <c r="O530" s="101">
        <f t="shared" si="154"/>
        <v>7321.3696127787662</v>
      </c>
      <c r="P530" s="101">
        <f t="shared" si="154"/>
        <v>25205.745356841559</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78435.616458448712</v>
      </c>
      <c r="M531" s="101">
        <f t="shared" si="155"/>
        <v>0</v>
      </c>
      <c r="N531" s="101">
        <f t="shared" si="155"/>
        <v>16653.660199171805</v>
      </c>
      <c r="O531" s="101">
        <f t="shared" si="155"/>
        <v>28202.556450972552</v>
      </c>
      <c r="P531" s="101">
        <f t="shared" si="155"/>
        <v>68919.12114264624</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8808.4021048564955</v>
      </c>
      <c r="L533" s="131">
        <f t="shared" si="156"/>
        <v>0</v>
      </c>
      <c r="M533" s="131">
        <f t="shared" si="156"/>
        <v>5298.9984308607791</v>
      </c>
      <c r="N533" s="131">
        <f t="shared" si="156"/>
        <v>0</v>
      </c>
      <c r="O533" s="131">
        <f t="shared" si="156"/>
        <v>0</v>
      </c>
      <c r="P533" s="131">
        <f t="shared" si="156"/>
        <v>0</v>
      </c>
      <c r="Q533" s="131">
        <f t="shared" si="156"/>
        <v>0</v>
      </c>
      <c r="R533" s="131">
        <f t="shared" si="156"/>
        <v>2120.0971136074354</v>
      </c>
      <c r="S533" s="131">
        <f t="shared" si="156"/>
        <v>0</v>
      </c>
      <c r="T533" s="131">
        <f t="shared" si="156"/>
        <v>33839.103386170413</v>
      </c>
      <c r="U533" s="131">
        <f t="shared" si="156"/>
        <v>0</v>
      </c>
      <c r="V533" s="131">
        <f t="shared" si="156"/>
        <v>8451.4185101941748</v>
      </c>
      <c r="W533" s="131">
        <f t="shared" si="156"/>
        <v>0</v>
      </c>
      <c r="X533" s="131">
        <f t="shared" si="156"/>
        <v>286628.40604383906</v>
      </c>
      <c r="Y533" s="131">
        <f t="shared" si="156"/>
        <v>0</v>
      </c>
      <c r="AQ533" s="3"/>
    </row>
    <row r="534" spans="5:43" x14ac:dyDescent="0.3">
      <c r="E534" s="352"/>
      <c r="F534" s="2" t="s">
        <v>984</v>
      </c>
      <c r="G534" t="s">
        <v>207</v>
      </c>
      <c r="J534" s="364">
        <f>J68</f>
        <v>2272941.7109962343</v>
      </c>
      <c r="K534" s="364">
        <f t="shared" ref="K534:Y534" si="157">K68</f>
        <v>0</v>
      </c>
      <c r="L534" s="364">
        <f t="shared" si="157"/>
        <v>43615.870615073836</v>
      </c>
      <c r="M534" s="364">
        <f t="shared" si="157"/>
        <v>0</v>
      </c>
      <c r="N534" s="364">
        <f t="shared" si="157"/>
        <v>173823.30581969829</v>
      </c>
      <c r="O534" s="364">
        <f t="shared" si="157"/>
        <v>18787.474717934932</v>
      </c>
      <c r="P534" s="364">
        <f t="shared" si="157"/>
        <v>84785.751995411454</v>
      </c>
      <c r="Q534" s="364">
        <f t="shared" si="157"/>
        <v>36505.652837292037</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198189.30961307243</v>
      </c>
      <c r="M535" s="364">
        <f t="shared" si="158"/>
        <v>0</v>
      </c>
      <c r="N535" s="364">
        <f t="shared" si="158"/>
        <v>208088.42038068635</v>
      </c>
      <c r="O535" s="364">
        <f t="shared" si="158"/>
        <v>51874.418308197128</v>
      </c>
      <c r="P535" s="364">
        <f t="shared" si="158"/>
        <v>275625.90618714766</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198959.14114656809</v>
      </c>
      <c r="M536" s="101">
        <f t="shared" si="159"/>
        <v>0</v>
      </c>
      <c r="N536" s="101">
        <f t="shared" si="159"/>
        <v>102901.71701978368</v>
      </c>
      <c r="O536" s="101">
        <f t="shared" si="159"/>
        <v>54014.704138013432</v>
      </c>
      <c r="P536" s="101">
        <f t="shared" si="159"/>
        <v>181003.4557614059</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645898.76089789951</v>
      </c>
      <c r="M537" s="101">
        <f t="shared" si="160"/>
        <v>0</v>
      </c>
      <c r="N537" s="101">
        <f t="shared" si="160"/>
        <v>119565.4606718048</v>
      </c>
      <c r="O537" s="101">
        <f t="shared" si="160"/>
        <v>208069.36723643003</v>
      </c>
      <c r="P537" s="101">
        <f t="shared" si="160"/>
        <v>494910.93868692045</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28839.73547014036</v>
      </c>
      <c r="L539" s="131">
        <f t="shared" si="161"/>
        <v>0</v>
      </c>
      <c r="M539" s="131">
        <f t="shared" si="161"/>
        <v>11694.133459357819</v>
      </c>
      <c r="N539" s="131">
        <f t="shared" si="161"/>
        <v>0</v>
      </c>
      <c r="O539" s="131">
        <f t="shared" si="161"/>
        <v>0</v>
      </c>
      <c r="P539" s="131">
        <f t="shared" si="161"/>
        <v>0</v>
      </c>
      <c r="Q539" s="131">
        <f t="shared" si="161"/>
        <v>0</v>
      </c>
      <c r="R539" s="131">
        <f t="shared" si="161"/>
        <v>904.45814433756675</v>
      </c>
      <c r="S539" s="131">
        <f t="shared" si="161"/>
        <v>0</v>
      </c>
      <c r="T539" s="131">
        <f t="shared" si="161"/>
        <v>28793.328681545252</v>
      </c>
      <c r="U539" s="131">
        <f t="shared" si="161"/>
        <v>0</v>
      </c>
      <c r="V539" s="131">
        <f t="shared" si="161"/>
        <v>8337.0882839597562</v>
      </c>
      <c r="W539" s="131">
        <f t="shared" si="161"/>
        <v>0</v>
      </c>
      <c r="X539" s="131">
        <f t="shared" si="161"/>
        <v>235378.52205465923</v>
      </c>
      <c r="Y539" s="131">
        <f t="shared" si="161"/>
        <v>0</v>
      </c>
      <c r="AQ539" s="3"/>
    </row>
    <row r="540" spans="5:43" x14ac:dyDescent="0.3">
      <c r="E540" s="352"/>
      <c r="F540" s="2" t="s">
        <v>984</v>
      </c>
      <c r="G540" t="s">
        <v>207</v>
      </c>
      <c r="J540" s="364">
        <f>J69</f>
        <v>2575955.0606651236</v>
      </c>
      <c r="K540" s="364">
        <f t="shared" ref="K540:Y540" si="162">K69</f>
        <v>0</v>
      </c>
      <c r="L540" s="364">
        <f t="shared" si="162"/>
        <v>34884.599727618042</v>
      </c>
      <c r="M540" s="364">
        <f t="shared" si="162"/>
        <v>0</v>
      </c>
      <c r="N540" s="364">
        <f t="shared" si="162"/>
        <v>148750.82920682596</v>
      </c>
      <c r="O540" s="364">
        <f t="shared" si="162"/>
        <v>18221.579236547816</v>
      </c>
      <c r="P540" s="364">
        <f t="shared" si="162"/>
        <v>93725.831776888721</v>
      </c>
      <c r="Q540" s="364">
        <f t="shared" si="162"/>
        <v>77551.244091183558</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158514.65621680312</v>
      </c>
      <c r="M541" s="364">
        <f t="shared" si="163"/>
        <v>0</v>
      </c>
      <c r="N541" s="364">
        <f t="shared" si="163"/>
        <v>178073.50363059275</v>
      </c>
      <c r="O541" s="364">
        <f t="shared" si="163"/>
        <v>50311.91459969338</v>
      </c>
      <c r="P541" s="364">
        <f t="shared" si="163"/>
        <v>304688.77976157115</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159130.37853358782</v>
      </c>
      <c r="M542" s="101">
        <f t="shared" si="164"/>
        <v>0</v>
      </c>
      <c r="N542" s="101">
        <f t="shared" si="164"/>
        <v>88059.05319380002</v>
      </c>
      <c r="O542" s="101">
        <f t="shared" si="164"/>
        <v>52387.733112951501</v>
      </c>
      <c r="P542" s="101">
        <f t="shared" si="164"/>
        <v>200089.03673635126</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516599.10534264491</v>
      </c>
      <c r="M543" s="101">
        <f t="shared" si="165"/>
        <v>0</v>
      </c>
      <c r="N543" s="101">
        <f t="shared" si="165"/>
        <v>102319.19900243658</v>
      </c>
      <c r="O543" s="101">
        <f t="shared" si="165"/>
        <v>201802.1324695473</v>
      </c>
      <c r="P543" s="101">
        <f t="shared" si="165"/>
        <v>547095.92463628517</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861.47352056885472</v>
      </c>
      <c r="U545" s="131">
        <f t="shared" si="166"/>
        <v>0</v>
      </c>
      <c r="V545" s="131">
        <f t="shared" si="166"/>
        <v>112.05985177756838</v>
      </c>
      <c r="W545" s="131">
        <f t="shared" si="166"/>
        <v>0</v>
      </c>
      <c r="X545" s="131">
        <f t="shared" si="166"/>
        <v>284.55473026719613</v>
      </c>
      <c r="Y545" s="131">
        <f t="shared" si="166"/>
        <v>0</v>
      </c>
      <c r="AQ545" s="3"/>
    </row>
    <row r="546" spans="5:43" x14ac:dyDescent="0.3">
      <c r="E546" s="352"/>
      <c r="F546" s="2" t="s">
        <v>984</v>
      </c>
      <c r="G546" t="s">
        <v>212</v>
      </c>
      <c r="J546" s="364">
        <f>J70</f>
        <v>1491636.9166571859</v>
      </c>
      <c r="K546" s="364">
        <f t="shared" ref="K546:Y546" si="167">K70</f>
        <v>0</v>
      </c>
      <c r="L546" s="364">
        <f t="shared" si="167"/>
        <v>62925.878210158902</v>
      </c>
      <c r="M546" s="364">
        <f t="shared" si="167"/>
        <v>0</v>
      </c>
      <c r="N546" s="364">
        <f t="shared" si="167"/>
        <v>4166.3518523132634</v>
      </c>
      <c r="O546" s="364">
        <f t="shared" si="167"/>
        <v>325.76835966317407</v>
      </c>
      <c r="P546" s="364">
        <f t="shared" si="167"/>
        <v>471.56647753161769</v>
      </c>
      <c r="Q546" s="364">
        <f t="shared" si="167"/>
        <v>24.569263564139717</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47968.49437961082</v>
      </c>
      <c r="M547" s="364">
        <f t="shared" si="168"/>
        <v>0</v>
      </c>
      <c r="N547" s="364">
        <f t="shared" si="168"/>
        <v>2619.817783314505</v>
      </c>
      <c r="O547" s="364">
        <f t="shared" si="168"/>
        <v>453.57718513574679</v>
      </c>
      <c r="P547" s="364">
        <f t="shared" si="168"/>
        <v>408.48411979164251</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20069.348725410768</v>
      </c>
      <c r="M548" s="101">
        <f t="shared" si="169"/>
        <v>0</v>
      </c>
      <c r="N548" s="101">
        <f t="shared" si="169"/>
        <v>853.59936953217709</v>
      </c>
      <c r="O548" s="101">
        <f t="shared" si="169"/>
        <v>299.8222071236292</v>
      </c>
      <c r="P548" s="101">
        <f t="shared" si="169"/>
        <v>127.19885249208109</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20183.108818155033</v>
      </c>
      <c r="M549" s="101">
        <f t="shared" si="170"/>
        <v>0</v>
      </c>
      <c r="N549" s="101">
        <f t="shared" si="170"/>
        <v>537.73481409709484</v>
      </c>
      <c r="O549" s="101">
        <f t="shared" si="170"/>
        <v>572.73729309513794</v>
      </c>
      <c r="P549" s="101">
        <f t="shared" si="170"/>
        <v>136.50608560125775</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160052.28402504176</v>
      </c>
      <c r="O552" s="364">
        <f t="shared" si="172"/>
        <v>17249.612816460703</v>
      </c>
      <c r="P552" s="364">
        <f t="shared" si="172"/>
        <v>83978.983450174608</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277023.41467353178</v>
      </c>
      <c r="O553" s="364">
        <f t="shared" si="173"/>
        <v>59741.776172999693</v>
      </c>
      <c r="P553" s="364">
        <f t="shared" si="173"/>
        <v>265139.66038376192</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147462.1666720006</v>
      </c>
      <c r="O554" s="101">
        <f t="shared" si="174"/>
        <v>62924.607165159709</v>
      </c>
      <c r="P554" s="101">
        <f t="shared" si="174"/>
        <v>167696.45030368963</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171568.13462942591</v>
      </c>
      <c r="O555" s="101">
        <f t="shared" si="175"/>
        <v>248367.22167633311</v>
      </c>
      <c r="P555" s="101">
        <f t="shared" si="175"/>
        <v>426114.12005975784</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3846.2261182455973</v>
      </c>
      <c r="O558" s="364">
        <f t="shared" si="177"/>
        <v>246.01251666723277</v>
      </c>
      <c r="P558" s="364">
        <f t="shared" si="177"/>
        <v>305.13158521214103</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6657.1664339148783</v>
      </c>
      <c r="O559" s="364">
        <f t="shared" si="178"/>
        <v>852.03215068486224</v>
      </c>
      <c r="P559" s="364">
        <f t="shared" si="178"/>
        <v>963.36585121331063</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3543.6722466153269</v>
      </c>
      <c r="O560" s="101">
        <f t="shared" si="179"/>
        <v>897.42541665779731</v>
      </c>
      <c r="P560" s="101">
        <f t="shared" si="179"/>
        <v>609.31296871404868</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4122.9642206613462</v>
      </c>
      <c r="O561" s="101">
        <f t="shared" si="180"/>
        <v>3542.1922748281177</v>
      </c>
      <c r="P561" s="101">
        <f t="shared" si="180"/>
        <v>1548.2549513385443</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5860.34329429218</v>
      </c>
      <c r="U563" s="131">
        <f t="shared" si="181"/>
        <v>0</v>
      </c>
      <c r="V563" s="131">
        <f t="shared" si="181"/>
        <v>1979.3774685899657</v>
      </c>
      <c r="W563" s="131">
        <f t="shared" si="181"/>
        <v>0</v>
      </c>
      <c r="X563" s="131">
        <f t="shared" si="181"/>
        <v>9248.3392978234697</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36617.777030644895</v>
      </c>
      <c r="O564" s="364">
        <f t="shared" si="182"/>
        <v>3600.1474561872697</v>
      </c>
      <c r="P564" s="364">
        <f t="shared" si="182"/>
        <v>10438.16109897426</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43836.097491223634</v>
      </c>
      <c r="O565" s="364">
        <f t="shared" si="183"/>
        <v>9940.4288185239348</v>
      </c>
      <c r="P565" s="364">
        <f t="shared" si="183"/>
        <v>33932.913775275789</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21677.370086433762</v>
      </c>
      <c r="O566" s="101">
        <f t="shared" si="184"/>
        <v>10350.560818774673</v>
      </c>
      <c r="P566" s="101">
        <f t="shared" si="184"/>
        <v>22283.735017304152</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25187.769607764145</v>
      </c>
      <c r="O567" s="364">
        <f t="shared" si="185"/>
        <v>39871.266064919306</v>
      </c>
      <c r="P567" s="364">
        <f t="shared" si="185"/>
        <v>60929.578214252637</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5.1069600457863729</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2662.4957515671886</v>
      </c>
      <c r="K572" s="364">
        <f t="shared" ref="K572:Y572" si="187">K114</f>
        <v>0</v>
      </c>
      <c r="L572" s="364">
        <f t="shared" si="187"/>
        <v>4.0270931817701605</v>
      </c>
      <c r="M572" s="364">
        <f t="shared" si="187"/>
        <v>0</v>
      </c>
      <c r="N572" s="364">
        <f t="shared" si="187"/>
        <v>52.917081243415204</v>
      </c>
      <c r="O572" s="364">
        <f t="shared" si="187"/>
        <v>0</v>
      </c>
      <c r="P572" s="364">
        <f t="shared" si="187"/>
        <v>0</v>
      </c>
      <c r="Q572" s="364">
        <f t="shared" si="187"/>
        <v>1.377515987053852</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18.299000024241248</v>
      </c>
      <c r="M573" s="364">
        <f t="shared" si="188"/>
        <v>0</v>
      </c>
      <c r="N573" s="364">
        <f t="shared" si="188"/>
        <v>63.348420369593839</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18.370079273054426</v>
      </c>
      <c r="M574" s="101">
        <f t="shared" si="189"/>
        <v>0</v>
      </c>
      <c r="N574" s="101">
        <f t="shared" si="189"/>
        <v>31.326400645440589</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59.636422693045517</v>
      </c>
      <c r="M575" s="101">
        <f t="shared" si="190"/>
        <v>0</v>
      </c>
      <c r="N575" s="101">
        <f t="shared" si="190"/>
        <v>36.399349134684648</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44.031921592651642</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14385.094329467913</v>
      </c>
      <c r="K578" s="364">
        <f t="shared" ref="K578:Y578" si="192">K115</f>
        <v>0</v>
      </c>
      <c r="L578" s="364">
        <f t="shared" si="192"/>
        <v>34.81985147428901</v>
      </c>
      <c r="M578" s="364">
        <f t="shared" si="192"/>
        <v>0</v>
      </c>
      <c r="N578" s="364">
        <f t="shared" si="192"/>
        <v>373.27659921704941</v>
      </c>
      <c r="O578" s="364">
        <f t="shared" si="192"/>
        <v>0</v>
      </c>
      <c r="P578" s="364">
        <f t="shared" si="192"/>
        <v>0</v>
      </c>
      <c r="Q578" s="364">
        <f t="shared" si="192"/>
        <v>73.782528103874384</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158.22044194468219</v>
      </c>
      <c r="M579" s="364">
        <f t="shared" si="193"/>
        <v>0</v>
      </c>
      <c r="N579" s="364">
        <f t="shared" si="193"/>
        <v>446.85916845189809</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158.83502143784676</v>
      </c>
      <c r="M580" s="101">
        <f t="shared" si="194"/>
        <v>0</v>
      </c>
      <c r="N580" s="101">
        <f t="shared" si="194"/>
        <v>220.97613896828312</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515.64026132541517</v>
      </c>
      <c r="M581" s="101">
        <f t="shared" si="195"/>
        <v>0</v>
      </c>
      <c r="N581" s="101">
        <f t="shared" si="195"/>
        <v>256.76067045742155</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18.658964606730699</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14990.768520839179</v>
      </c>
      <c r="K584" s="364">
        <f t="shared" ref="K584:Y584" si="197">K116</f>
        <v>0</v>
      </c>
      <c r="L584" s="364">
        <f t="shared" si="197"/>
        <v>23.989961355758282</v>
      </c>
      <c r="M584" s="364">
        <f t="shared" si="197"/>
        <v>0</v>
      </c>
      <c r="N584" s="364">
        <f t="shared" si="197"/>
        <v>379.68247494648642</v>
      </c>
      <c r="O584" s="364">
        <f t="shared" si="197"/>
        <v>0</v>
      </c>
      <c r="P584" s="364">
        <f t="shared" si="197"/>
        <v>0</v>
      </c>
      <c r="Q584" s="364">
        <f t="shared" si="197"/>
        <v>94.532347277294178</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109.00972081247018</v>
      </c>
      <c r="M585" s="364">
        <f t="shared" si="198"/>
        <v>0</v>
      </c>
      <c r="N585" s="364">
        <f t="shared" si="198"/>
        <v>454.52780963558484</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109.43314991014873</v>
      </c>
      <c r="M586" s="101">
        <f t="shared" si="199"/>
        <v>0</v>
      </c>
      <c r="N586" s="101">
        <f t="shared" si="199"/>
        <v>224.76835548646491</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355.26257060010624</v>
      </c>
      <c r="M587" s="101">
        <f t="shared" si="200"/>
        <v>0</v>
      </c>
      <c r="N587" s="101">
        <f t="shared" si="200"/>
        <v>261.16699260728871</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11395.451848846675</v>
      </c>
      <c r="K590" s="364">
        <f t="shared" ref="K590:Y590" si="202">K117</f>
        <v>0</v>
      </c>
      <c r="L590" s="364">
        <f t="shared" si="202"/>
        <v>102.72993058813056</v>
      </c>
      <c r="M590" s="364">
        <f t="shared" si="202"/>
        <v>0</v>
      </c>
      <c r="N590" s="364">
        <f t="shared" si="202"/>
        <v>17.549170731708863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78.311185130809903</v>
      </c>
      <c r="M591" s="364">
        <f t="shared" si="203"/>
        <v>0</v>
      </c>
      <c r="N591" s="364">
        <f t="shared" si="203"/>
        <v>11.034984848873593</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32.764307152372574</v>
      </c>
      <c r="M592" s="101">
        <f t="shared" si="204"/>
        <v>0</v>
      </c>
      <c r="N592" s="101">
        <f t="shared" si="204"/>
        <v>3.5954623141302782</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32.950026712650889</v>
      </c>
      <c r="M593" s="101">
        <f t="shared" si="205"/>
        <v>0</v>
      </c>
      <c r="N593" s="101">
        <f t="shared" si="205"/>
        <v>2.2650031479540291</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743.8192057424684</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1287.4251531599102</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685.30850627454743</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797.33741013536383</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6.5598439795778951</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11.353979669943069</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6.0438300656021067</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7.0318283921531535</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121.56717969653396</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145.5312466524272</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71.96659541731205</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83.620753698385656</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9.3175685451818087</v>
      </c>
      <c r="U615" s="131">
        <f t="shared" si="221"/>
        <v>0</v>
      </c>
      <c r="V615" s="131">
        <f t="shared" si="221"/>
        <v>0</v>
      </c>
      <c r="W615" s="131">
        <f t="shared" si="221"/>
        <v>0</v>
      </c>
      <c r="X615" s="131">
        <f t="shared" si="221"/>
        <v>0.28793605051586674</v>
      </c>
      <c r="Y615" s="131">
        <f t="shared" si="221"/>
        <v>0</v>
      </c>
      <c r="AQ615" s="3"/>
    </row>
    <row r="616" spans="4:43" x14ac:dyDescent="0.3">
      <c r="E616" s="352"/>
      <c r="F616" s="2" t="s">
        <v>984</v>
      </c>
      <c r="G616" t="s">
        <v>207</v>
      </c>
      <c r="J616" s="364">
        <f>J161</f>
        <v>7813.6855843248686</v>
      </c>
      <c r="K616" s="364">
        <f t="shared" ref="K616:Y616" si="222">K161</f>
        <v>0</v>
      </c>
      <c r="L616" s="364">
        <f t="shared" si="222"/>
        <v>40.398450714256612</v>
      </c>
      <c r="M616" s="364">
        <f t="shared" si="222"/>
        <v>0</v>
      </c>
      <c r="N616" s="364">
        <f t="shared" si="222"/>
        <v>1610.7044984066426</v>
      </c>
      <c r="O616" s="364">
        <f t="shared" si="222"/>
        <v>29.824374269733354</v>
      </c>
      <c r="P616" s="364">
        <f t="shared" si="222"/>
        <v>141.35141652837905</v>
      </c>
      <c r="Q616" s="364">
        <f t="shared" si="222"/>
        <v>4.710732375202654</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183.5694425810488</v>
      </c>
      <c r="M617" s="364">
        <f t="shared" si="223"/>
        <v>0</v>
      </c>
      <c r="N617" s="364">
        <f t="shared" si="223"/>
        <v>1928.216433308228</v>
      </c>
      <c r="O617" s="364">
        <f t="shared" si="223"/>
        <v>82.348590743356411</v>
      </c>
      <c r="P617" s="364">
        <f t="shared" si="223"/>
        <v>459.51249301391971</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184.28248581108483</v>
      </c>
      <c r="M618" s="101">
        <f t="shared" si="224"/>
        <v>0</v>
      </c>
      <c r="N618" s="101">
        <f t="shared" si="224"/>
        <v>953.52149538252661</v>
      </c>
      <c r="O618" s="101">
        <f t="shared" si="224"/>
        <v>85.746209986548919</v>
      </c>
      <c r="P618" s="101">
        <f t="shared" si="224"/>
        <v>301.76172607151216</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598.25262892987507</v>
      </c>
      <c r="M619" s="101">
        <f t="shared" si="225"/>
        <v>0</v>
      </c>
      <c r="N619" s="101">
        <f t="shared" si="225"/>
        <v>1107.9332800050458</v>
      </c>
      <c r="O619" s="101">
        <f t="shared" si="225"/>
        <v>330.30190463021313</v>
      </c>
      <c r="P619" s="101">
        <f t="shared" si="225"/>
        <v>825.09573356820545</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82.718185842262727</v>
      </c>
      <c r="U621" s="131">
        <f t="shared" si="226"/>
        <v>0</v>
      </c>
      <c r="V621" s="131">
        <f t="shared" si="226"/>
        <v>0</v>
      </c>
      <c r="W621" s="131">
        <f t="shared" si="226"/>
        <v>0</v>
      </c>
      <c r="X621" s="131">
        <f t="shared" si="226"/>
        <v>2.9395648662404099</v>
      </c>
      <c r="Y621" s="131">
        <f t="shared" si="226"/>
        <v>0</v>
      </c>
      <c r="AQ621" s="3"/>
    </row>
    <row r="622" spans="4:43" x14ac:dyDescent="0.3">
      <c r="E622" s="352"/>
      <c r="F622" s="2" t="s">
        <v>984</v>
      </c>
      <c r="G622" t="s">
        <v>207</v>
      </c>
      <c r="J622" s="364">
        <f>J162</f>
        <v>42124.414068561608</v>
      </c>
      <c r="K622" s="364">
        <f t="shared" ref="K622:Y622" si="227">K162</f>
        <v>0</v>
      </c>
      <c r="L622" s="364">
        <f t="shared" si="227"/>
        <v>305.64751449019064</v>
      </c>
      <c r="M622" s="364">
        <f t="shared" si="227"/>
        <v>0</v>
      </c>
      <c r="N622" s="364">
        <f t="shared" si="227"/>
        <v>10423.833606379383</v>
      </c>
      <c r="O622" s="364">
        <f t="shared" si="227"/>
        <v>174.22414506600805</v>
      </c>
      <c r="P622" s="364">
        <f t="shared" si="227"/>
        <v>934.81326346239746</v>
      </c>
      <c r="Q622" s="364">
        <f t="shared" si="227"/>
        <v>385.64429086836378</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1388.8538513049211</v>
      </c>
      <c r="M623" s="364">
        <f t="shared" si="228"/>
        <v>0</v>
      </c>
      <c r="N623" s="364">
        <f t="shared" si="228"/>
        <v>12478.643523858183</v>
      </c>
      <c r="O623" s="364">
        <f t="shared" si="228"/>
        <v>481.05327172653296</v>
      </c>
      <c r="P623" s="364">
        <f t="shared" si="228"/>
        <v>3038.9392886617607</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1394.2486099437135</v>
      </c>
      <c r="M624" s="101">
        <f t="shared" si="229"/>
        <v>0</v>
      </c>
      <c r="N624" s="101">
        <f t="shared" si="229"/>
        <v>6170.8087472319148</v>
      </c>
      <c r="O624" s="101">
        <f t="shared" si="229"/>
        <v>500.90104129083045</v>
      </c>
      <c r="P624" s="101">
        <f t="shared" si="229"/>
        <v>1995.6705837491279</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4526.2733059490656</v>
      </c>
      <c r="M625" s="101">
        <f t="shared" si="230"/>
        <v>0</v>
      </c>
      <c r="N625" s="101">
        <f t="shared" si="230"/>
        <v>7170.0998967639725</v>
      </c>
      <c r="O625" s="101">
        <f t="shared" si="230"/>
        <v>1929.5146455519418</v>
      </c>
      <c r="P625" s="101">
        <f t="shared" si="230"/>
        <v>5456.6869884246225</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316.59177029657002</v>
      </c>
      <c r="U627" s="131">
        <f t="shared" si="231"/>
        <v>0</v>
      </c>
      <c r="V627" s="131">
        <f t="shared" si="231"/>
        <v>0</v>
      </c>
      <c r="W627" s="131">
        <f t="shared" si="231"/>
        <v>0</v>
      </c>
      <c r="X627" s="131">
        <f t="shared" si="231"/>
        <v>2.0316824650938816</v>
      </c>
      <c r="Y627" s="131">
        <f t="shared" si="231"/>
        <v>0</v>
      </c>
      <c r="AQ627" s="3"/>
    </row>
    <row r="628" spans="5:43" x14ac:dyDescent="0.3">
      <c r="E628" s="352"/>
      <c r="F628" s="2" t="s">
        <v>984</v>
      </c>
      <c r="G628" t="s">
        <v>207</v>
      </c>
      <c r="J628" s="364">
        <f>J163</f>
        <v>42739.742303409541</v>
      </c>
      <c r="K628" s="364">
        <f t="shared" ref="K628:Y628" si="232">K163</f>
        <v>0</v>
      </c>
      <c r="L628" s="364">
        <f t="shared" si="232"/>
        <v>213.48470283376727</v>
      </c>
      <c r="M628" s="364">
        <f t="shared" si="232"/>
        <v>0</v>
      </c>
      <c r="N628" s="364">
        <f t="shared" si="232"/>
        <v>9537.6733030920877</v>
      </c>
      <c r="O628" s="364">
        <f t="shared" si="232"/>
        <v>196.52933498095166</v>
      </c>
      <c r="P628" s="364">
        <f t="shared" si="232"/>
        <v>1191.9373651919088</v>
      </c>
      <c r="Q628" s="364">
        <f t="shared" si="232"/>
        <v>494.29181511786317</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970.06858446048329</v>
      </c>
      <c r="M629" s="364">
        <f t="shared" si="233"/>
        <v>0</v>
      </c>
      <c r="N629" s="364">
        <f t="shared" si="233"/>
        <v>11417.797874619437</v>
      </c>
      <c r="O629" s="364">
        <f t="shared" si="233"/>
        <v>542.64051373021755</v>
      </c>
      <c r="P629" s="364">
        <f t="shared" si="233"/>
        <v>3874.8116124171524</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973.83664534847549</v>
      </c>
      <c r="M630" s="101">
        <f t="shared" si="234"/>
        <v>0</v>
      </c>
      <c r="N630" s="101">
        <f t="shared" si="234"/>
        <v>5646.210412543579</v>
      </c>
      <c r="O630" s="101">
        <f t="shared" si="234"/>
        <v>565.02931036829955</v>
      </c>
      <c r="P630" s="101">
        <f t="shared" si="234"/>
        <v>2544.5877057569342</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3161.452542078373</v>
      </c>
      <c r="M631" s="101">
        <f t="shared" si="235"/>
        <v>0</v>
      </c>
      <c r="N631" s="101">
        <f t="shared" si="235"/>
        <v>6560.5489254948216</v>
      </c>
      <c r="O631" s="101">
        <f t="shared" si="235"/>
        <v>2176.5423499863377</v>
      </c>
      <c r="P631" s="101">
        <f t="shared" si="235"/>
        <v>6957.5704216796648</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4.912912803409677</v>
      </c>
      <c r="U633" s="131">
        <f t="shared" si="236"/>
        <v>0</v>
      </c>
      <c r="V633" s="131">
        <f t="shared" si="236"/>
        <v>0</v>
      </c>
      <c r="W633" s="131">
        <f t="shared" si="236"/>
        <v>0</v>
      </c>
      <c r="X633" s="131">
        <f t="shared" si="236"/>
        <v>0.24209302560552895</v>
      </c>
      <c r="Y633" s="131">
        <f t="shared" si="236"/>
        <v>0</v>
      </c>
      <c r="AQ633" s="3"/>
    </row>
    <row r="634" spans="5:43" x14ac:dyDescent="0.3">
      <c r="E634" s="352"/>
      <c r="F634" s="2" t="s">
        <v>984</v>
      </c>
      <c r="G634" t="s">
        <v>212</v>
      </c>
      <c r="J634" s="364">
        <f>J164</f>
        <v>33714.381027148498</v>
      </c>
      <c r="K634" s="364">
        <f t="shared" ref="K634:Y634" si="237">K164</f>
        <v>0</v>
      </c>
      <c r="L634" s="364">
        <f t="shared" si="237"/>
        <v>432.55612576454951</v>
      </c>
      <c r="M634" s="364">
        <f t="shared" si="237"/>
        <v>0</v>
      </c>
      <c r="N634" s="364">
        <f t="shared" si="237"/>
        <v>137.63780660998748</v>
      </c>
      <c r="O634" s="364">
        <f t="shared" si="237"/>
        <v>1.080346161740628</v>
      </c>
      <c r="P634" s="364">
        <f t="shared" si="237"/>
        <v>4.5172988511399623</v>
      </c>
      <c r="Q634" s="364">
        <f t="shared" si="237"/>
        <v>0.58390516788023794</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329.7382043410758</v>
      </c>
      <c r="M635" s="364">
        <f t="shared" si="238"/>
        <v>0</v>
      </c>
      <c r="N635" s="364">
        <f t="shared" si="238"/>
        <v>86.547172729312692</v>
      </c>
      <c r="O635" s="364">
        <f t="shared" si="238"/>
        <v>1.504198785668367</v>
      </c>
      <c r="P635" s="364">
        <f t="shared" si="238"/>
        <v>3.9130110662286954</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137.95786373117127</v>
      </c>
      <c r="M636" s="101">
        <f t="shared" si="239"/>
        <v>0</v>
      </c>
      <c r="N636" s="101">
        <f t="shared" si="239"/>
        <v>28.199141385729334</v>
      </c>
      <c r="O636" s="101">
        <f t="shared" si="239"/>
        <v>0.99430089222146278</v>
      </c>
      <c r="P636" s="101">
        <f t="shared" si="239"/>
        <v>1.2184819269522267</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138.73985718734096</v>
      </c>
      <c r="M637" s="101">
        <f t="shared" si="240"/>
        <v>0</v>
      </c>
      <c r="N637" s="101">
        <f t="shared" si="240"/>
        <v>17.764375879358298</v>
      </c>
      <c r="O637" s="101">
        <f t="shared" si="240"/>
        <v>1.8993696530897177</v>
      </c>
      <c r="P637" s="101">
        <f t="shared" si="240"/>
        <v>1.3076391411194628</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11053.017172588452</v>
      </c>
      <c r="O640" s="364">
        <f t="shared" si="242"/>
        <v>140.12118119972334</v>
      </c>
      <c r="P640" s="364">
        <f t="shared" si="242"/>
        <v>1196.8181916542871</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19130.90199397946</v>
      </c>
      <c r="O641" s="364">
        <f t="shared" si="243"/>
        <v>485.29137050206526</v>
      </c>
      <c r="P641" s="364">
        <f t="shared" si="243"/>
        <v>3778.6116935387367</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10183.558894278001</v>
      </c>
      <c r="O642" s="101">
        <f t="shared" si="244"/>
        <v>511.14598201861844</v>
      </c>
      <c r="P642" s="101">
        <f t="shared" si="244"/>
        <v>2389.9094053500071</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11848.287888420948</v>
      </c>
      <c r="O643" s="101">
        <f t="shared" si="245"/>
        <v>2017.5240362132338</v>
      </c>
      <c r="P643" s="101">
        <f t="shared" si="245"/>
        <v>6072.7233130995573</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52.511460523249077</v>
      </c>
      <c r="O646" s="364">
        <f t="shared" si="247"/>
        <v>0</v>
      </c>
      <c r="P646" s="364">
        <f t="shared" si="247"/>
        <v>0</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90.888450560123303</v>
      </c>
      <c r="O647" s="364">
        <f t="shared" si="248"/>
        <v>0</v>
      </c>
      <c r="P647" s="364">
        <f t="shared" si="248"/>
        <v>0</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48.380776263448972</v>
      </c>
      <c r="O648" s="101">
        <f t="shared" si="249"/>
        <v>0</v>
      </c>
      <c r="P648" s="101">
        <f t="shared" si="249"/>
        <v>0</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56.289689231994885</v>
      </c>
      <c r="O649" s="101">
        <f t="shared" si="250"/>
        <v>0</v>
      </c>
      <c r="P649" s="101">
        <f t="shared" si="250"/>
        <v>0</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2.1782595025625353</v>
      </c>
      <c r="U651" s="131">
        <f t="shared" si="251"/>
        <v>0</v>
      </c>
      <c r="V651" s="131">
        <f t="shared" si="251"/>
        <v>0</v>
      </c>
      <c r="W651" s="131">
        <f t="shared" si="251"/>
        <v>0</v>
      </c>
      <c r="X651" s="131">
        <f t="shared" si="251"/>
        <v>0</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1019.7116669502295</v>
      </c>
      <c r="O652" s="364">
        <f t="shared" si="252"/>
        <v>30.195638942669014</v>
      </c>
      <c r="P652" s="364">
        <f t="shared" si="252"/>
        <v>47.65927285120798</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1220.7234755938211</v>
      </c>
      <c r="O653" s="364">
        <f t="shared" si="253"/>
        <v>83.373695992255847</v>
      </c>
      <c r="P653" s="364">
        <f t="shared" si="253"/>
        <v>154.93322826865582</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603.65945118501691</v>
      </c>
      <c r="O654" s="101">
        <f t="shared" si="254"/>
        <v>86.813610037199268</v>
      </c>
      <c r="P654" s="101">
        <f t="shared" si="254"/>
        <v>101.74460781584219</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701.41512173163085</v>
      </c>
      <c r="O655" s="364">
        <f t="shared" si="255"/>
        <v>334.41362303488086</v>
      </c>
      <c r="P655" s="364">
        <f t="shared" si="255"/>
        <v>278.19645292765608</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4.0137436641223642E-2</v>
      </c>
      <c r="L665" s="343">
        <f>'Inputs by customer type'!L169</f>
        <v>0.18238340185311658</v>
      </c>
      <c r="M665" s="343">
        <f>'Inputs by customer type'!M169</f>
        <v>0.18309183811643903</v>
      </c>
      <c r="N665" s="343">
        <f>'Inputs by customer type'!N169</f>
        <v>0.59438732338922073</v>
      </c>
      <c r="AQ665" s="3"/>
    </row>
    <row r="666" spans="3:43" x14ac:dyDescent="0.3">
      <c r="E666" s="32"/>
      <c r="F666" s="311" t="s">
        <v>248</v>
      </c>
      <c r="G666" s="311" t="s">
        <v>167</v>
      </c>
      <c r="H666" s="311"/>
      <c r="I666" s="311"/>
      <c r="J666" s="344">
        <f>'Inputs by customer type'!J170</f>
        <v>0</v>
      </c>
      <c r="K666" s="344">
        <f>'Inputs by customer type'!K170</f>
        <v>4.0137436641223642E-2</v>
      </c>
      <c r="L666" s="344">
        <f>'Inputs by customer type'!L170</f>
        <v>0.18238340185311658</v>
      </c>
      <c r="M666" s="344">
        <f>'Inputs by customer type'!M170</f>
        <v>0.18309183811643903</v>
      </c>
      <c r="N666" s="344">
        <f>'Inputs by customer type'!N170</f>
        <v>0.59438732338922073</v>
      </c>
      <c r="AQ666" s="3"/>
    </row>
    <row r="667" spans="3:43" x14ac:dyDescent="0.3">
      <c r="E667" s="32"/>
      <c r="F667" s="37" t="s">
        <v>249</v>
      </c>
      <c r="G667" s="37" t="s">
        <v>167</v>
      </c>
      <c r="H667" s="37"/>
      <c r="I667" s="37"/>
      <c r="J667" s="345">
        <f>'Inputs by customer type'!J171</f>
        <v>0</v>
      </c>
      <c r="K667" s="345">
        <f>'Inputs by customer type'!K171</f>
        <v>4.0137436641223642E-2</v>
      </c>
      <c r="L667" s="345">
        <f>'Inputs by customer type'!L171</f>
        <v>0.18238340185311658</v>
      </c>
      <c r="M667" s="345">
        <f>'Inputs by customer type'!M171</f>
        <v>0.18309183811643903</v>
      </c>
      <c r="N667" s="345">
        <f>'Inputs by customer type'!N171</f>
        <v>0.59438732338922073</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4.0137436641223642E-2</v>
      </c>
      <c r="L670" s="343">
        <f>'Inputs by customer type'!L174</f>
        <v>0.18238340185311658</v>
      </c>
      <c r="M670" s="343">
        <f>'Inputs by customer type'!M174</f>
        <v>0.18309183811643903</v>
      </c>
      <c r="N670" s="343">
        <f>'Inputs by customer type'!N174</f>
        <v>0.59438732338922073</v>
      </c>
      <c r="AQ670" s="3"/>
    </row>
    <row r="671" spans="3:43" x14ac:dyDescent="0.3">
      <c r="E671" s="32"/>
      <c r="F671" s="311" t="s">
        <v>248</v>
      </c>
      <c r="G671" s="311" t="s">
        <v>167</v>
      </c>
      <c r="H671" s="311"/>
      <c r="I671" s="311"/>
      <c r="J671" s="344">
        <f>'Inputs by customer type'!J175</f>
        <v>0</v>
      </c>
      <c r="K671" s="344">
        <f>'Inputs by customer type'!K175</f>
        <v>4.0137436641223642E-2</v>
      </c>
      <c r="L671" s="344">
        <f>'Inputs by customer type'!L175</f>
        <v>0.18238340185311658</v>
      </c>
      <c r="M671" s="344">
        <f>'Inputs by customer type'!M175</f>
        <v>0.18309183811643903</v>
      </c>
      <c r="N671" s="344">
        <f>'Inputs by customer type'!N175</f>
        <v>0.59438732338922073</v>
      </c>
      <c r="AQ671" s="3"/>
    </row>
    <row r="672" spans="3:43" x14ac:dyDescent="0.3">
      <c r="E672" s="32"/>
      <c r="F672" s="37" t="s">
        <v>249</v>
      </c>
      <c r="G672" s="37" t="s">
        <v>167</v>
      </c>
      <c r="H672" s="37"/>
      <c r="I672" s="37"/>
      <c r="J672" s="345">
        <f>'Inputs by customer type'!J176</f>
        <v>0</v>
      </c>
      <c r="K672" s="345">
        <f>'Inputs by customer type'!K176</f>
        <v>4.0137436641223642E-2</v>
      </c>
      <c r="L672" s="345">
        <f>'Inputs by customer type'!L176</f>
        <v>0.18238340185311658</v>
      </c>
      <c r="M672" s="345">
        <f>'Inputs by customer type'!M176</f>
        <v>0.18309183811643903</v>
      </c>
      <c r="N672" s="345">
        <f>'Inputs by customer type'!N176</f>
        <v>0.59438732338922073</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4.0137436641223642E-2</v>
      </c>
      <c r="L675" s="343">
        <f>'Inputs by customer type'!L179</f>
        <v>0.18238340185311658</v>
      </c>
      <c r="M675" s="343">
        <f>'Inputs by customer type'!M179</f>
        <v>0.18309183811643903</v>
      </c>
      <c r="N675" s="343">
        <f>'Inputs by customer type'!N179</f>
        <v>0.59438732338922073</v>
      </c>
      <c r="AQ675" s="3"/>
    </row>
    <row r="676" spans="5:43" x14ac:dyDescent="0.3">
      <c r="F676" s="311" t="s">
        <v>248</v>
      </c>
      <c r="G676" s="311" t="s">
        <v>167</v>
      </c>
      <c r="H676" s="311"/>
      <c r="I676" s="311"/>
      <c r="J676" s="344">
        <f>'Inputs by customer type'!J180</f>
        <v>0</v>
      </c>
      <c r="K676" s="344">
        <f>'Inputs by customer type'!K180</f>
        <v>4.0137436641223642E-2</v>
      </c>
      <c r="L676" s="344">
        <f>'Inputs by customer type'!L180</f>
        <v>0.18238340185311658</v>
      </c>
      <c r="M676" s="344">
        <f>'Inputs by customer type'!M180</f>
        <v>0.18309183811643903</v>
      </c>
      <c r="N676" s="344">
        <f>'Inputs by customer type'!N180</f>
        <v>0.59438732338922073</v>
      </c>
      <c r="AQ676" s="3"/>
    </row>
    <row r="677" spans="5:43" x14ac:dyDescent="0.3">
      <c r="F677" s="37" t="s">
        <v>249</v>
      </c>
      <c r="G677" s="37" t="s">
        <v>167</v>
      </c>
      <c r="H677" s="37"/>
      <c r="I677" s="37"/>
      <c r="J677" s="345">
        <f>'Inputs by customer type'!J181</f>
        <v>0</v>
      </c>
      <c r="K677" s="345">
        <f>'Inputs by customer type'!K181</f>
        <v>4.0137436641223642E-2</v>
      </c>
      <c r="L677" s="345">
        <f>'Inputs by customer type'!L181</f>
        <v>0.18238340185311658</v>
      </c>
      <c r="M677" s="345">
        <f>'Inputs by customer type'!M181</f>
        <v>0.18309183811643903</v>
      </c>
      <c r="N677" s="345">
        <f>'Inputs by customer type'!N181</f>
        <v>0.59438732338922073</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6.2831097705485055</v>
      </c>
      <c r="L680" s="367">
        <f t="shared" si="256"/>
        <v>28.550276999808322</v>
      </c>
      <c r="M680" s="367">
        <f t="shared" si="256"/>
        <v>28.661175531961234</v>
      </c>
      <c r="N680" s="367">
        <f t="shared" si="256"/>
        <v>93.04532405642766</v>
      </c>
      <c r="AQ680" s="3"/>
    </row>
    <row r="681" spans="5:43" x14ac:dyDescent="0.3">
      <c r="F681" s="311" t="s">
        <v>248</v>
      </c>
      <c r="G681" s="311" t="s">
        <v>207</v>
      </c>
      <c r="H681" s="311"/>
      <c r="I681" s="311"/>
      <c r="J681" s="366">
        <f t="shared" si="256"/>
        <v>0</v>
      </c>
      <c r="K681" s="366">
        <f t="shared" si="256"/>
        <v>212.68821378061801</v>
      </c>
      <c r="L681" s="366">
        <f t="shared" si="256"/>
        <v>966.44936023471564</v>
      </c>
      <c r="M681" s="366">
        <f t="shared" si="256"/>
        <v>970.20336288242618</v>
      </c>
      <c r="N681" s="366">
        <f t="shared" si="256"/>
        <v>3149.6574939630191</v>
      </c>
      <c r="AQ681" s="3"/>
    </row>
    <row r="682" spans="5:43" x14ac:dyDescent="0.3">
      <c r="F682" s="37" t="s">
        <v>249</v>
      </c>
      <c r="G682" s="37" t="s">
        <v>207</v>
      </c>
      <c r="H682" s="37"/>
      <c r="I682" s="37"/>
      <c r="J682" s="368">
        <f t="shared" si="256"/>
        <v>0</v>
      </c>
      <c r="K682" s="368">
        <f t="shared" si="256"/>
        <v>469.37254079898793</v>
      </c>
      <c r="L682" s="368">
        <f t="shared" si="256"/>
        <v>2132.8158420420336</v>
      </c>
      <c r="M682" s="368">
        <f t="shared" si="256"/>
        <v>2141.100390252775</v>
      </c>
      <c r="N682" s="368">
        <f t="shared" si="256"/>
        <v>6950.844686264023</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688.34386435015449</v>
      </c>
      <c r="L685" s="89">
        <f t="shared" ref="L685:N685" si="257">SUM(L680:L682)</f>
        <v>3127.8154792765577</v>
      </c>
      <c r="M685" s="89">
        <f t="shared" si="257"/>
        <v>3139.9649286671624</v>
      </c>
      <c r="N685" s="89">
        <f t="shared" si="257"/>
        <v>10193.54750428347</v>
      </c>
      <c r="AQ685" s="3"/>
    </row>
    <row r="686" spans="5:43" x14ac:dyDescent="0.3">
      <c r="J686" s="89"/>
      <c r="K686" s="89"/>
      <c r="L686" s="89"/>
      <c r="M686" s="89"/>
      <c r="N686" s="89"/>
      <c r="AQ686" s="3"/>
    </row>
    <row r="687" spans="5:43" x14ac:dyDescent="0.3">
      <c r="E687" t="s">
        <v>1041</v>
      </c>
      <c r="G687" t="s">
        <v>207</v>
      </c>
      <c r="H687" s="89">
        <f>SUM(J685:N685)</f>
        <v>17149.671776577343</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4.0137436641223649E-2</v>
      </c>
      <c r="L689" s="111">
        <f>IF($H687 &lt;&gt; 0, L685/$H687, 0)</f>
        <v>0.18238340185311661</v>
      </c>
      <c r="M689" s="111">
        <f>IF($H687 &lt;&gt; 0, M685/$H687, 0)</f>
        <v>0.18309183811643903</v>
      </c>
      <c r="N689" s="111">
        <f>IF($H687 &lt;&gt; 0, N685/$H687, 0)</f>
        <v>0.59438732338922073</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522</v>
      </c>
      <c r="K24" s="124">
        <f>IF(K$20, 'General inputs'!$H16, 'General inputs'!$H21)</f>
        <v>522</v>
      </c>
      <c r="L24" s="124">
        <f>IF(L$20, 'General inputs'!$H16, 'General inputs'!$H21)</f>
        <v>522</v>
      </c>
      <c r="M24" s="124">
        <f>IF(M$20, 'General inputs'!$H16, 'General inputs'!$H21)</f>
        <v>522</v>
      </c>
      <c r="N24" s="124">
        <f>IF(N$20, 'General inputs'!$H16, 'General inputs'!$H21)</f>
        <v>522</v>
      </c>
      <c r="O24" s="124">
        <f>IF(O$20, 'General inputs'!$H16, 'General inputs'!$H21)</f>
        <v>522</v>
      </c>
      <c r="P24" s="124">
        <f>IF(P$20, 'General inputs'!$H16, 'General inputs'!$H21)</f>
        <v>522</v>
      </c>
      <c r="Q24" s="124">
        <f>IF(Q$20, 'General inputs'!$H16, 'General inputs'!$H21)</f>
        <v>152</v>
      </c>
      <c r="R24" s="124">
        <f>IF(R$20, 'General inputs'!$H16, 'General inputs'!$H21)</f>
        <v>522</v>
      </c>
      <c r="S24" s="124">
        <f>IF(S$20, 'General inputs'!$H16, 'General inputs'!$H21)</f>
        <v>522</v>
      </c>
      <c r="T24" s="124">
        <f>IF(T$20, 'General inputs'!$H16, 'General inputs'!$H21)</f>
        <v>522</v>
      </c>
      <c r="U24" s="124">
        <f>IF(U$20, 'General inputs'!$H16, 'General inputs'!$H21)</f>
        <v>522</v>
      </c>
      <c r="V24" s="124">
        <f>IF(V$20, 'General inputs'!$H16, 'General inputs'!$H21)</f>
        <v>522</v>
      </c>
      <c r="W24" s="124">
        <f>IF(W$20, 'General inputs'!$H16, 'General inputs'!$H21)</f>
        <v>522</v>
      </c>
      <c r="X24" s="124">
        <f>IF(X$20, 'General inputs'!$H16, 'General inputs'!$H21)</f>
        <v>522</v>
      </c>
      <c r="Y24" s="124">
        <f>IF(Y$20, 'General inputs'!$H16, 'General inputs'!$H21)</f>
        <v>522</v>
      </c>
    </row>
    <row r="25" spans="3:27" x14ac:dyDescent="0.3">
      <c r="F25" s="28" t="s">
        <v>466</v>
      </c>
      <c r="G25" t="s">
        <v>147</v>
      </c>
      <c r="H25" s="150"/>
      <c r="I25" s="150"/>
      <c r="J25" s="120">
        <f>IF(J$20, 'General inputs'!$H17, 'General inputs'!$H22)</f>
        <v>3444</v>
      </c>
      <c r="K25" s="120">
        <f>IF(K$20, 'General inputs'!$H17, 'General inputs'!$H22)</f>
        <v>3444</v>
      </c>
      <c r="L25" s="120">
        <f>IF(L$20, 'General inputs'!$H17, 'General inputs'!$H22)</f>
        <v>3444</v>
      </c>
      <c r="M25" s="120">
        <f>IF(M$20, 'General inputs'!$H17, 'General inputs'!$H22)</f>
        <v>3444</v>
      </c>
      <c r="N25" s="120">
        <f>IF(N$20, 'General inputs'!$H17, 'General inputs'!$H22)</f>
        <v>3444</v>
      </c>
      <c r="O25" s="120">
        <f>IF(O$20, 'General inputs'!$H17, 'General inputs'!$H22)</f>
        <v>3444</v>
      </c>
      <c r="P25" s="120">
        <f>IF(P$20, 'General inputs'!$H17, 'General inputs'!$H22)</f>
        <v>3444</v>
      </c>
      <c r="Q25" s="120">
        <f>IF(Q$20, 'General inputs'!$H17, 'General inputs'!$H22)</f>
        <v>3814</v>
      </c>
      <c r="R25" s="120">
        <f>IF(R$20, 'General inputs'!$H17, 'General inputs'!$H22)</f>
        <v>3444</v>
      </c>
      <c r="S25" s="120">
        <f>IF(S$20, 'General inputs'!$H17, 'General inputs'!$H22)</f>
        <v>3444</v>
      </c>
      <c r="T25" s="120">
        <f>IF(T$20, 'General inputs'!$H17, 'General inputs'!$H22)</f>
        <v>3444</v>
      </c>
      <c r="U25" s="120">
        <f>IF(U$20, 'General inputs'!$H17, 'General inputs'!$H22)</f>
        <v>3444</v>
      </c>
      <c r="V25" s="120">
        <f>IF(V$20, 'General inputs'!$H17, 'General inputs'!$H22)</f>
        <v>3444</v>
      </c>
      <c r="W25" s="120">
        <f>IF(W$20, 'General inputs'!$H17, 'General inputs'!$H22)</f>
        <v>3444</v>
      </c>
      <c r="X25" s="120">
        <f>IF(X$20, 'General inputs'!$H17, 'General inputs'!$H22)</f>
        <v>3444</v>
      </c>
      <c r="Y25" s="120">
        <f>IF(Y$20, 'General inputs'!$H17, 'General inputs'!$H22)</f>
        <v>3444</v>
      </c>
    </row>
    <row r="26" spans="3:27" x14ac:dyDescent="0.3">
      <c r="F26" s="67" t="s">
        <v>257</v>
      </c>
      <c r="G26" s="37" t="s">
        <v>147</v>
      </c>
      <c r="H26" s="151"/>
      <c r="I26" s="151"/>
      <c r="J26" s="125">
        <f>IF(J$20, 'General inputs'!$H18, 'General inputs'!$H23)</f>
        <v>4794</v>
      </c>
      <c r="K26" s="125">
        <f>IF(K$20, 'General inputs'!$H18, 'General inputs'!$H23)</f>
        <v>4794</v>
      </c>
      <c r="L26" s="125">
        <f>IF(L$20, 'General inputs'!$H18, 'General inputs'!$H23)</f>
        <v>4794</v>
      </c>
      <c r="M26" s="125">
        <f>IF(M$20, 'General inputs'!$H18, 'General inputs'!$H23)</f>
        <v>4794</v>
      </c>
      <c r="N26" s="125">
        <f>IF(N$20, 'General inputs'!$H18, 'General inputs'!$H23)</f>
        <v>4794</v>
      </c>
      <c r="O26" s="125">
        <f>IF(O$20, 'General inputs'!$H18, 'General inputs'!$H23)</f>
        <v>4794</v>
      </c>
      <c r="P26" s="125">
        <f>IF(P$20, 'General inputs'!$H18, 'General inputs'!$H23)</f>
        <v>4794</v>
      </c>
      <c r="Q26" s="125">
        <f>IF(Q$20, 'General inputs'!$H18, 'General inputs'!$H23)</f>
        <v>4794</v>
      </c>
      <c r="R26" s="125">
        <f>IF(R$20, 'General inputs'!$H18, 'General inputs'!$H23)</f>
        <v>4794</v>
      </c>
      <c r="S26" s="125">
        <f>IF(S$20, 'General inputs'!$H18, 'General inputs'!$H23)</f>
        <v>4794</v>
      </c>
      <c r="T26" s="125">
        <f>IF(T$20, 'General inputs'!$H18, 'General inputs'!$H23)</f>
        <v>4794</v>
      </c>
      <c r="U26" s="125">
        <f>IF(U$20, 'General inputs'!$H18, 'General inputs'!$H23)</f>
        <v>4794</v>
      </c>
      <c r="V26" s="125">
        <f>IF(V$20, 'General inputs'!$H18, 'General inputs'!$H23)</f>
        <v>4794</v>
      </c>
      <c r="W26" s="125">
        <f>IF(W$20, 'General inputs'!$H18, 'General inputs'!$H23)</f>
        <v>4794</v>
      </c>
      <c r="X26" s="125">
        <f>IF(X$20, 'General inputs'!$H18, 'General inputs'!$H23)</f>
        <v>4794</v>
      </c>
      <c r="Y26" s="125">
        <f>IF(Y$20, 'General inputs'!$H18, 'General inputs'!$H23)</f>
        <v>4794</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399026.03800899512</v>
      </c>
      <c r="K31" s="124">
        <f>'Volume adjustments'!K238</f>
        <v>165.19190239670218</v>
      </c>
      <c r="L31" s="124">
        <f>'Volume adjustments'!L238</f>
        <v>132450.31212795366</v>
      </c>
      <c r="M31" s="124">
        <f>'Volume adjustments'!M238</f>
        <v>156.53988635874572</v>
      </c>
      <c r="N31" s="124">
        <f>'Volume adjustments'!N238</f>
        <v>86674.831441096554</v>
      </c>
      <c r="O31" s="124">
        <f>'Volume adjustments'!O238</f>
        <v>45471.337844051115</v>
      </c>
      <c r="P31" s="124">
        <f>'Volume adjustments'!P238</f>
        <v>145747.31064502179</v>
      </c>
      <c r="Q31" s="124">
        <f>'Volume adjustments'!Q238</f>
        <v>3174.8858245358156</v>
      </c>
      <c r="R31" s="124">
        <f>'Volume adjustments'!R238</f>
        <v>213.54227680548701</v>
      </c>
      <c r="S31" s="124">
        <f>'Volume adjustments'!S238</f>
        <v>0</v>
      </c>
      <c r="T31" s="124">
        <f>'Volume adjustments'!T238</f>
        <v>3876.9550361278475</v>
      </c>
      <c r="U31" s="124">
        <f>'Volume adjustments'!U238</f>
        <v>0</v>
      </c>
      <c r="V31" s="124">
        <f>'Volume adjustments'!V238</f>
        <v>1009.8765349498661</v>
      </c>
      <c r="W31" s="124">
        <f>'Volume adjustments'!W238</f>
        <v>0</v>
      </c>
      <c r="X31" s="124">
        <f>'Volume adjustments'!X238</f>
        <v>33793.195270070777</v>
      </c>
      <c r="Y31" s="124">
        <f>'Volume adjustments'!Y238</f>
        <v>0</v>
      </c>
    </row>
    <row r="32" spans="3:27" x14ac:dyDescent="0.3">
      <c r="F32" s="28" t="s">
        <v>157</v>
      </c>
      <c r="G32" s="28" t="s">
        <v>207</v>
      </c>
      <c r="J32" s="120">
        <f>'Volume adjustments'!J249</f>
        <v>2299749.8210967407</v>
      </c>
      <c r="K32" s="120">
        <f>'Volume adjustments'!K249</f>
        <v>8808.4021048564955</v>
      </c>
      <c r="L32" s="120">
        <f>'Volume adjustments'!L249</f>
        <v>1090436.4413541511</v>
      </c>
      <c r="M32" s="120">
        <f>'Volume adjustments'!M249</f>
        <v>5298.9984308607791</v>
      </c>
      <c r="N32" s="120">
        <f>'Volume adjustments'!N249</f>
        <v>620585.3569899631</v>
      </c>
      <c r="O32" s="120">
        <f>'Volume adjustments'!O249</f>
        <v>334905.13565356511</v>
      </c>
      <c r="P32" s="120">
        <f>'Volume adjustments'!P249</f>
        <v>1045803.7234401255</v>
      </c>
      <c r="Q32" s="120">
        <f>'Volume adjustments'!Q249</f>
        <v>36715.225125918128</v>
      </c>
      <c r="R32" s="120">
        <f>'Volume adjustments'!R249</f>
        <v>2164.1290352000869</v>
      </c>
      <c r="S32" s="120">
        <f>'Volume adjustments'!S249</f>
        <v>0</v>
      </c>
      <c r="T32" s="120">
        <f>'Volume adjustments'!T249</f>
        <v>33921.821572012675</v>
      </c>
      <c r="U32" s="120">
        <f>'Volume adjustments'!U249</f>
        <v>0</v>
      </c>
      <c r="V32" s="120">
        <f>'Volume adjustments'!V249</f>
        <v>8451.4185101941748</v>
      </c>
      <c r="W32" s="120">
        <f>'Volume adjustments'!W249</f>
        <v>0</v>
      </c>
      <c r="X32" s="120">
        <f>'Volume adjustments'!X249</f>
        <v>286631.34560870531</v>
      </c>
      <c r="Y32" s="120">
        <f>'Volume adjustments'!Y249</f>
        <v>0</v>
      </c>
    </row>
    <row r="33" spans="3:27" x14ac:dyDescent="0.3">
      <c r="F33" s="28" t="s">
        <v>158</v>
      </c>
      <c r="G33" s="28" t="s">
        <v>207</v>
      </c>
      <c r="J33" s="120">
        <f>'Volume adjustments'!J260</f>
        <v>2603399.6497765584</v>
      </c>
      <c r="K33" s="120">
        <f>'Volume adjustments'!K260</f>
        <v>28839.73547014036</v>
      </c>
      <c r="L33" s="120">
        <f>'Volume adjustments'!L260</f>
        <v>871759.20796101703</v>
      </c>
      <c r="M33" s="120">
        <f>'Volume adjustments'!M260</f>
        <v>11694.133459357819</v>
      </c>
      <c r="N33" s="120">
        <f>'Volume adjustments'!N260</f>
        <v>532113.37881706434</v>
      </c>
      <c r="O33" s="120">
        <f>'Volume adjustments'!O260</f>
        <v>325158.96035280847</v>
      </c>
      <c r="P33" s="120">
        <f>'Volume adjustments'!P260</f>
        <v>1157684.1147271593</v>
      </c>
      <c r="Q33" s="120">
        <f>'Volume adjustments'!Q260</f>
        <v>77819.836298015449</v>
      </c>
      <c r="R33" s="120">
        <f>'Volume adjustments'!R260</f>
        <v>923.11710894429746</v>
      </c>
      <c r="S33" s="120">
        <f>'Volume adjustments'!S260</f>
        <v>0</v>
      </c>
      <c r="T33" s="120">
        <f>'Volume adjustments'!T260</f>
        <v>29109.920451841823</v>
      </c>
      <c r="U33" s="120">
        <f>'Volume adjustments'!U260</f>
        <v>0</v>
      </c>
      <c r="V33" s="120">
        <f>'Volume adjustments'!V260</f>
        <v>8337.0882839597562</v>
      </c>
      <c r="W33" s="120">
        <f>'Volume adjustments'!W260</f>
        <v>0</v>
      </c>
      <c r="X33" s="120">
        <f>'Volume adjustments'!X260</f>
        <v>235380.55373712431</v>
      </c>
      <c r="Y33" s="120">
        <f>'Volume adjustments'!Y260</f>
        <v>0</v>
      </c>
    </row>
    <row r="34" spans="3:27" x14ac:dyDescent="0.3">
      <c r="F34" s="152" t="s">
        <v>455</v>
      </c>
      <c r="G34" s="152" t="s">
        <v>207</v>
      </c>
      <c r="H34" s="108"/>
      <c r="I34" s="108"/>
      <c r="J34" s="153">
        <f t="shared" ref="J34:Y34" si="0">SUM(J31:J33)</f>
        <v>5302175.5088822944</v>
      </c>
      <c r="K34" s="153">
        <f t="shared" si="0"/>
        <v>37813.329477393556</v>
      </c>
      <c r="L34" s="153">
        <f t="shared" si="0"/>
        <v>2094645.9614431218</v>
      </c>
      <c r="M34" s="153">
        <f t="shared" si="0"/>
        <v>17149.671776577343</v>
      </c>
      <c r="N34" s="153">
        <f t="shared" si="0"/>
        <v>1239373.5672481242</v>
      </c>
      <c r="O34" s="153">
        <f t="shared" si="0"/>
        <v>705535.43385042471</v>
      </c>
      <c r="P34" s="153">
        <f t="shared" si="0"/>
        <v>2349235.1488123066</v>
      </c>
      <c r="Q34" s="153">
        <f t="shared" si="0"/>
        <v>117709.9472484694</v>
      </c>
      <c r="R34" s="153">
        <f t="shared" si="0"/>
        <v>3300.7884209498711</v>
      </c>
      <c r="S34" s="153">
        <f t="shared" si="0"/>
        <v>0</v>
      </c>
      <c r="T34" s="153">
        <f t="shared" si="0"/>
        <v>66908.69705998234</v>
      </c>
      <c r="U34" s="153">
        <f t="shared" si="0"/>
        <v>0</v>
      </c>
      <c r="V34" s="153">
        <f t="shared" si="0"/>
        <v>17798.383329103795</v>
      </c>
      <c r="W34" s="153">
        <f t="shared" si="0"/>
        <v>0</v>
      </c>
      <c r="X34" s="153">
        <f t="shared" si="0"/>
        <v>555805.09461590042</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7.4755068221081411E-2</v>
      </c>
      <c r="K42" s="154">
        <f t="shared" si="1"/>
        <v>7.4755068221081411E-2</v>
      </c>
      <c r="L42" s="154">
        <f t="shared" si="1"/>
        <v>6.2793411411755082E-2</v>
      </c>
      <c r="M42" s="154">
        <f t="shared" si="1"/>
        <v>6.2793411411755082E-2</v>
      </c>
      <c r="N42" s="154">
        <f t="shared" si="1"/>
        <v>6.9934387606431933E-2</v>
      </c>
      <c r="O42" s="154">
        <f t="shared" si="1"/>
        <v>6.444940347771555E-2</v>
      </c>
      <c r="P42" s="154">
        <f t="shared" si="1"/>
        <v>6.2040324366297125E-2</v>
      </c>
      <c r="Q42" s="317"/>
      <c r="R42" s="317"/>
      <c r="S42" s="317"/>
      <c r="T42" s="317"/>
      <c r="U42" s="317"/>
      <c r="V42" s="317"/>
      <c r="W42" s="317"/>
      <c r="X42" s="317"/>
      <c r="Y42" s="317"/>
    </row>
    <row r="43" spans="3:27" x14ac:dyDescent="0.3">
      <c r="F43" s="28" t="s">
        <v>466</v>
      </c>
      <c r="G43" s="28" t="s">
        <v>167</v>
      </c>
      <c r="J43" s="145">
        <f t="shared" si="1"/>
        <v>0.43231517763073241</v>
      </c>
      <c r="K43" s="145">
        <f t="shared" si="1"/>
        <v>0.43231517763073241</v>
      </c>
      <c r="L43" s="145">
        <f t="shared" si="1"/>
        <v>0.51886433637256124</v>
      </c>
      <c r="M43" s="145">
        <f t="shared" si="1"/>
        <v>0.51886433637256124</v>
      </c>
      <c r="N43" s="145">
        <f t="shared" si="1"/>
        <v>0.500725022212549</v>
      </c>
      <c r="O43" s="145">
        <f t="shared" si="1"/>
        <v>0.47468223364181289</v>
      </c>
      <c r="P43" s="145">
        <f t="shared" si="1"/>
        <v>0.44516774915820934</v>
      </c>
      <c r="Q43" s="70"/>
      <c r="R43" s="70"/>
      <c r="S43" s="70"/>
      <c r="T43" s="70"/>
      <c r="U43" s="70"/>
      <c r="V43" s="70"/>
      <c r="W43" s="70"/>
      <c r="X43" s="70"/>
      <c r="Y43" s="70"/>
    </row>
    <row r="44" spans="3:27" x14ac:dyDescent="0.3">
      <c r="F44" s="67" t="s">
        <v>257</v>
      </c>
      <c r="G44" s="67" t="s">
        <v>167</v>
      </c>
      <c r="H44" s="37"/>
      <c r="I44" s="37"/>
      <c r="J44" s="155">
        <f t="shared" si="1"/>
        <v>0.49292975414818602</v>
      </c>
      <c r="K44" s="155">
        <f t="shared" si="1"/>
        <v>0.49292975414818602</v>
      </c>
      <c r="L44" s="155">
        <f t="shared" si="1"/>
        <v>0.41834225221568372</v>
      </c>
      <c r="M44" s="155">
        <f t="shared" si="1"/>
        <v>0.41834225221568372</v>
      </c>
      <c r="N44" s="155">
        <f t="shared" si="1"/>
        <v>0.42934059018101889</v>
      </c>
      <c r="O44" s="155">
        <f t="shared" si="1"/>
        <v>0.46086836288047156</v>
      </c>
      <c r="P44" s="155">
        <f t="shared" si="1"/>
        <v>0.49279192647549352</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7.4755068221081411E-2</v>
      </c>
      <c r="K48" s="154">
        <f t="shared" ref="K48:Y48" si="2">IF(ISNUMBER(K$38), K42, IF(K$34 = 0, 0, K31 / K$34))</f>
        <v>7.4755068221081411E-2</v>
      </c>
      <c r="L48" s="154">
        <f t="shared" si="2"/>
        <v>6.2793411411755082E-2</v>
      </c>
      <c r="M48" s="154">
        <f t="shared" si="2"/>
        <v>6.2793411411755082E-2</v>
      </c>
      <c r="N48" s="154">
        <f t="shared" si="2"/>
        <v>6.9934387606431933E-2</v>
      </c>
      <c r="O48" s="154">
        <f t="shared" si="2"/>
        <v>6.444940347771555E-2</v>
      </c>
      <c r="P48" s="154">
        <f t="shared" si="2"/>
        <v>6.2040324366297125E-2</v>
      </c>
      <c r="Q48" s="154">
        <f t="shared" si="2"/>
        <v>2.6972111522861116E-2</v>
      </c>
      <c r="R48" s="154">
        <f t="shared" si="2"/>
        <v>6.4694324377215229E-2</v>
      </c>
      <c r="S48" s="154">
        <f t="shared" si="2"/>
        <v>0</v>
      </c>
      <c r="T48" s="154">
        <f t="shared" si="2"/>
        <v>5.7943962541255778E-2</v>
      </c>
      <c r="U48" s="154">
        <f t="shared" si="2"/>
        <v>0</v>
      </c>
      <c r="V48" s="154">
        <f t="shared" si="2"/>
        <v>5.673979014141823E-2</v>
      </c>
      <c r="W48" s="154">
        <f t="shared" si="2"/>
        <v>0</v>
      </c>
      <c r="X48" s="154">
        <f t="shared" si="2"/>
        <v>6.0800441732949934E-2</v>
      </c>
      <c r="Y48" s="154">
        <f t="shared" si="2"/>
        <v>0</v>
      </c>
    </row>
    <row r="49" spans="2:27" x14ac:dyDescent="0.3">
      <c r="F49" s="28" t="s">
        <v>466</v>
      </c>
      <c r="G49" s="28" t="s">
        <v>167</v>
      </c>
      <c r="J49" s="145">
        <f t="shared" ref="J49:Y49" si="3">IF(ISNUMBER(J$38), J43, IF(J$34 = 0, 0, J32 / J$34))</f>
        <v>0.43231517763073241</v>
      </c>
      <c r="K49" s="145">
        <f t="shared" si="3"/>
        <v>0.43231517763073241</v>
      </c>
      <c r="L49" s="145">
        <f t="shared" si="3"/>
        <v>0.51886433637256124</v>
      </c>
      <c r="M49" s="145">
        <f t="shared" si="3"/>
        <v>0.51886433637256124</v>
      </c>
      <c r="N49" s="145">
        <f t="shared" si="3"/>
        <v>0.500725022212549</v>
      </c>
      <c r="O49" s="145">
        <f t="shared" si="3"/>
        <v>0.47468223364181289</v>
      </c>
      <c r="P49" s="145">
        <f t="shared" si="3"/>
        <v>0.44516774915820934</v>
      </c>
      <c r="Q49" s="145">
        <f t="shared" si="3"/>
        <v>0.31191268014433288</v>
      </c>
      <c r="R49" s="145">
        <f t="shared" si="3"/>
        <v>0.65564003480638522</v>
      </c>
      <c r="S49" s="145">
        <f t="shared" si="3"/>
        <v>0</v>
      </c>
      <c r="T49" s="145">
        <f t="shared" si="3"/>
        <v>0.50698673061294897</v>
      </c>
      <c r="U49" s="145">
        <f t="shared" si="3"/>
        <v>0</v>
      </c>
      <c r="V49" s="145">
        <f t="shared" si="3"/>
        <v>0.47484191984866808</v>
      </c>
      <c r="W49" s="145">
        <f t="shared" si="3"/>
        <v>0</v>
      </c>
      <c r="X49" s="145">
        <f t="shared" si="3"/>
        <v>0.51570478281921339</v>
      </c>
      <c r="Y49" s="145">
        <f t="shared" si="3"/>
        <v>0</v>
      </c>
    </row>
    <row r="50" spans="2:27" x14ac:dyDescent="0.3">
      <c r="F50" s="67" t="s">
        <v>257</v>
      </c>
      <c r="G50" s="67" t="s">
        <v>167</v>
      </c>
      <c r="H50" s="37"/>
      <c r="I50" s="37"/>
      <c r="J50" s="155">
        <f t="shared" ref="J50:Y50" si="4">IF(ISNUMBER(J$38), J44, IF(J$34 = 0, 0, J33 / J$34))</f>
        <v>0.49292975414818602</v>
      </c>
      <c r="K50" s="155">
        <f t="shared" si="4"/>
        <v>0.49292975414818602</v>
      </c>
      <c r="L50" s="155">
        <f t="shared" si="4"/>
        <v>0.41834225221568372</v>
      </c>
      <c r="M50" s="155">
        <f t="shared" si="4"/>
        <v>0.41834225221568372</v>
      </c>
      <c r="N50" s="155">
        <f t="shared" si="4"/>
        <v>0.42934059018101889</v>
      </c>
      <c r="O50" s="155">
        <f t="shared" si="4"/>
        <v>0.46086836288047156</v>
      </c>
      <c r="P50" s="155">
        <f t="shared" si="4"/>
        <v>0.49279192647549352</v>
      </c>
      <c r="Q50" s="155">
        <f t="shared" si="4"/>
        <v>0.66111520833280601</v>
      </c>
      <c r="R50" s="155">
        <f t="shared" si="4"/>
        <v>0.27966564081639961</v>
      </c>
      <c r="S50" s="155">
        <f t="shared" si="4"/>
        <v>0</v>
      </c>
      <c r="T50" s="155">
        <f t="shared" si="4"/>
        <v>0.43506930684579537</v>
      </c>
      <c r="U50" s="155">
        <f t="shared" si="4"/>
        <v>0</v>
      </c>
      <c r="V50" s="155">
        <f t="shared" si="4"/>
        <v>0.46841829000991375</v>
      </c>
      <c r="W50" s="155">
        <f t="shared" si="4"/>
        <v>0</v>
      </c>
      <c r="X50" s="155">
        <f t="shared" si="4"/>
        <v>0.42349477544783659</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1.2545103402618261</v>
      </c>
      <c r="K54" s="89">
        <f t="shared" si="5"/>
        <v>1.2545103402618261</v>
      </c>
      <c r="L54" s="89">
        <f t="shared" si="5"/>
        <v>1.0537744903581887</v>
      </c>
      <c r="M54" s="89">
        <f t="shared" si="5"/>
        <v>1.0537744903581887</v>
      </c>
      <c r="N54" s="89">
        <f t="shared" si="5"/>
        <v>1.1736115621309267</v>
      </c>
      <c r="O54" s="89">
        <f t="shared" si="5"/>
        <v>1.081564702039824</v>
      </c>
      <c r="P54" s="89">
        <f t="shared" si="5"/>
        <v>1.0411364778711931</v>
      </c>
      <c r="Q54" s="89">
        <f t="shared" si="5"/>
        <v>1.5544453746069959</v>
      </c>
      <c r="R54" s="89">
        <f t="shared" si="5"/>
        <v>1.0856748688590141</v>
      </c>
      <c r="S54" s="89">
        <f t="shared" si="5"/>
        <v>0</v>
      </c>
      <c r="T54" s="89">
        <f t="shared" si="5"/>
        <v>0.97239293460038434</v>
      </c>
      <c r="U54" s="89">
        <f t="shared" si="5"/>
        <v>0</v>
      </c>
      <c r="V54" s="89">
        <f t="shared" si="5"/>
        <v>0.95218498398242091</v>
      </c>
      <c r="W54" s="89">
        <f t="shared" si="5"/>
        <v>0</v>
      </c>
      <c r="X54" s="89">
        <f t="shared" si="5"/>
        <v>1.0203292520701943</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0.43637124594100191</v>
      </c>
      <c r="K62" s="25">
        <f>'Inputs by customer type'!K15</f>
        <v>0.13909638091298485</v>
      </c>
      <c r="L62" s="25">
        <f>'Inputs by customer type'!L15</f>
        <v>0.42027324975634772</v>
      </c>
      <c r="M62" s="25">
        <f>'Inputs by customer type'!M15</f>
        <v>0.15211196015792416</v>
      </c>
      <c r="N62" s="25">
        <f>'Inputs by customer type'!N15</f>
        <v>0.56327498809340515</v>
      </c>
      <c r="O62" s="25">
        <f>'Inputs by customer type'!O15</f>
        <v>0.6133729661812396</v>
      </c>
      <c r="P62" s="25">
        <f>'Inputs by customer type'!P15</f>
        <v>0.73653799635890616</v>
      </c>
      <c r="Q62" s="25">
        <f>'Inputs by customer type'!Q15</f>
        <v>0.49149694068465871</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0.92716088726519208</v>
      </c>
      <c r="K63" s="25">
        <f>'Inputs by customer type'!K16</f>
        <v>0</v>
      </c>
      <c r="L63" s="25">
        <f>'Inputs by customer type'!L16</f>
        <v>0.68044730111810703</v>
      </c>
      <c r="M63" s="25">
        <f>'Inputs by customer type'!M16</f>
        <v>0</v>
      </c>
      <c r="N63" s="25">
        <f>'Inputs by customer type'!N16</f>
        <v>0.74178661285900027</v>
      </c>
      <c r="O63" s="25">
        <f>'Inputs by customer type'!O16</f>
        <v>0.73615080183524617</v>
      </c>
      <c r="P63" s="25">
        <f>'Inputs by customer type'!P16</f>
        <v>0.77911911110674159</v>
      </c>
      <c r="Q63" s="25">
        <f>'Inputs by customer type'!Q16</f>
        <v>0.96201654876215936</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605.2711768130473</v>
      </c>
      <c r="K69" s="89">
        <f t="shared" si="6"/>
        <v>4.3165901229901316</v>
      </c>
      <c r="L69" s="89">
        <f t="shared" si="6"/>
        <v>239.11483578117827</v>
      </c>
      <c r="M69" s="89">
        <f t="shared" si="6"/>
        <v>1.9577250886503816</v>
      </c>
      <c r="N69" s="89">
        <f t="shared" si="6"/>
        <v>141.48100082741144</v>
      </c>
      <c r="O69" s="89">
        <f t="shared" si="6"/>
        <v>80.54057464045944</v>
      </c>
      <c r="P69" s="89">
        <f t="shared" si="6"/>
        <v>268.17752840323135</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1387.0555918683995</v>
      </c>
      <c r="K71" s="89">
        <f t="shared" si="7"/>
        <v>31.033087235321247</v>
      </c>
      <c r="L71" s="89">
        <f t="shared" si="7"/>
        <v>568.95088117029684</v>
      </c>
      <c r="M71" s="89">
        <f t="shared" si="7"/>
        <v>12.870290321798837</v>
      </c>
      <c r="N71" s="89">
        <f t="shared" si="7"/>
        <v>251.17572023977451</v>
      </c>
      <c r="O71" s="89">
        <f t="shared" si="7"/>
        <v>131.30766936451727</v>
      </c>
      <c r="P71" s="89">
        <f t="shared" si="7"/>
        <v>364.10549045531064</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1286.0236932428513</v>
      </c>
      <c r="K73" s="89">
        <f t="shared" ref="K73:M73" si="8">K71 * K63</f>
        <v>0</v>
      </c>
      <c r="L73" s="89">
        <f t="shared" si="8"/>
        <v>387.14109156109731</v>
      </c>
      <c r="M73" s="89">
        <f t="shared" si="8"/>
        <v>0</v>
      </c>
      <c r="N73" s="89">
        <f t="shared" ref="N73:P73" si="9">N71 * N63</f>
        <v>186.31878674908216</v>
      </c>
      <c r="O73" s="89">
        <f t="shared" si="9"/>
        <v>96.662246089806771</v>
      </c>
      <c r="P73" s="89">
        <f t="shared" si="9"/>
        <v>283.68154607262579</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0.42986575939758376</v>
      </c>
      <c r="K77" s="145">
        <f t="shared" si="10"/>
        <v>0.42986575939758376</v>
      </c>
      <c r="L77" s="145">
        <f t="shared" si="10"/>
        <v>0.4143413349012236</v>
      </c>
      <c r="M77" s="145">
        <f t="shared" si="10"/>
        <v>0.4143413349012236</v>
      </c>
      <c r="N77" s="145">
        <f t="shared" si="10"/>
        <v>0.56327498809340515</v>
      </c>
      <c r="O77" s="145">
        <f t="shared" si="10"/>
        <v>0.6133729661812396</v>
      </c>
      <c r="P77" s="145">
        <f t="shared" si="10"/>
        <v>0.73653799635890616</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0.9068711373224283</v>
      </c>
      <c r="K79" s="145">
        <f t="shared" si="11"/>
        <v>0.9068711373224283</v>
      </c>
      <c r="L79" s="145">
        <f t="shared" si="11"/>
        <v>0.6653953319853656</v>
      </c>
      <c r="M79" s="145">
        <f t="shared" si="11"/>
        <v>0.6653953319853656</v>
      </c>
      <c r="N79" s="145">
        <f t="shared" si="11"/>
        <v>0.74178661285900027</v>
      </c>
      <c r="O79" s="145">
        <f t="shared" si="11"/>
        <v>0.73615080183524617</v>
      </c>
      <c r="P79" s="145">
        <f t="shared" si="11"/>
        <v>0.77911911110674148</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0.42986575939758376</v>
      </c>
      <c r="K83" s="145">
        <f t="shared" ref="K83:Y83" si="12">IF(K$38 = 0, K62, K77)</f>
        <v>0.42986575939758376</v>
      </c>
      <c r="L83" s="145">
        <f t="shared" si="12"/>
        <v>0.4143413349012236</v>
      </c>
      <c r="M83" s="145">
        <f>IF(M$38 = 0, M62, M77)</f>
        <v>0.4143413349012236</v>
      </c>
      <c r="N83" s="145">
        <f t="shared" si="12"/>
        <v>0.56327498809340515</v>
      </c>
      <c r="O83" s="145">
        <f t="shared" si="12"/>
        <v>0.6133729661812396</v>
      </c>
      <c r="P83" s="145">
        <f t="shared" si="12"/>
        <v>0.73653799635890616</v>
      </c>
      <c r="Q83" s="145">
        <f t="shared" si="12"/>
        <v>0.49149694068465871</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0.9068711373224283</v>
      </c>
      <c r="K85" s="145">
        <f t="shared" ref="K85:Y85" si="13">IF(K38 = 0, K63, K79)</f>
        <v>0.9068711373224283</v>
      </c>
      <c r="L85" s="145">
        <f t="shared" si="13"/>
        <v>0.6653953319853656</v>
      </c>
      <c r="M85" s="145">
        <f t="shared" si="13"/>
        <v>0.6653953319853656</v>
      </c>
      <c r="N85" s="145">
        <f t="shared" si="13"/>
        <v>0.74178661285900027</v>
      </c>
      <c r="O85" s="145">
        <f t="shared" si="13"/>
        <v>0.73615080183524617</v>
      </c>
      <c r="P85" s="145">
        <f t="shared" si="13"/>
        <v>0.77911911110674148</v>
      </c>
      <c r="Q85" s="145">
        <f t="shared" si="13"/>
        <v>0.96201654876215936</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2.1247066480419421</v>
      </c>
      <c r="K89" s="89">
        <f t="shared" si="14"/>
        <v>0</v>
      </c>
      <c r="L89" s="89">
        <f t="shared" si="14"/>
        <v>1.61905927039752</v>
      </c>
      <c r="M89" s="89">
        <f t="shared" si="14"/>
        <v>0</v>
      </c>
      <c r="N89" s="89">
        <f t="shared" si="14"/>
        <v>1.3169173645892358</v>
      </c>
      <c r="O89" s="89">
        <f t="shared" si="14"/>
        <v>1.2001683191523771</v>
      </c>
      <c r="P89" s="89">
        <f t="shared" si="14"/>
        <v>1.0578125160661584</v>
      </c>
      <c r="Q89" s="89">
        <f t="shared" si="14"/>
        <v>1.9573195052283816</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2.1096612546980307</v>
      </c>
      <c r="K91" s="89">
        <f t="shared" ref="K91:Y91" si="15">IF(AND(K83 = 0, K85 = 0), 1, K85 / K83)</f>
        <v>2.1096612546980307</v>
      </c>
      <c r="L91" s="89">
        <f t="shared" si="15"/>
        <v>1.6059110591609009</v>
      </c>
      <c r="M91" s="89">
        <f t="shared" si="15"/>
        <v>1.6059110591609009</v>
      </c>
      <c r="N91" s="89">
        <f>IF(AND(N83 = 0, N85 = 0), 1, N85 / N83)</f>
        <v>1.3169173645892358</v>
      </c>
      <c r="O91" s="89">
        <f t="shared" si="15"/>
        <v>1.2001683191523771</v>
      </c>
      <c r="P91" s="89">
        <f t="shared" si="15"/>
        <v>1.0578125160661582</v>
      </c>
      <c r="Q91" s="89">
        <f t="shared" si="15"/>
        <v>1.9573195052283816</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1.6816611126997392</v>
      </c>
      <c r="K93" s="89">
        <f t="shared" ref="K93:Y93" si="16">IF(OR(K54 = 0, K85 = 0), 1, K91 / K54)</f>
        <v>1.6816611126997392</v>
      </c>
      <c r="L93" s="89">
        <f t="shared" si="16"/>
        <v>1.5239608415791459</v>
      </c>
      <c r="M93" s="89">
        <f t="shared" si="16"/>
        <v>1.5239608415791459</v>
      </c>
      <c r="N93" s="89">
        <f>IF(OR(N54 = 0, N85 = 0), 1, N91 / N54)</f>
        <v>1.1221066723287123</v>
      </c>
      <c r="O93" s="89">
        <f t="shared" si="16"/>
        <v>1.1096592898130526</v>
      </c>
      <c r="P93" s="89">
        <f t="shared" si="16"/>
        <v>1.0160171490956329</v>
      </c>
      <c r="Q93" s="89">
        <f t="shared" si="16"/>
        <v>1.2591754829102584</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0.86968448709933899</v>
      </c>
    </row>
    <row r="104" spans="3:27" x14ac:dyDescent="0.3">
      <c r="F104" s="72" t="s">
        <v>295</v>
      </c>
      <c r="G104" s="28" t="s">
        <v>167</v>
      </c>
      <c r="H104" s="25">
        <f>'Inputs by network level'!K41</f>
        <v>0.13031551290066112</v>
      </c>
    </row>
    <row r="105" spans="3:27" x14ac:dyDescent="0.3">
      <c r="F105" s="80" t="s">
        <v>257</v>
      </c>
      <c r="G105" s="67" t="s">
        <v>167</v>
      </c>
      <c r="H105" s="141">
        <f>'Inputs by network level'!K42</f>
        <v>0</v>
      </c>
    </row>
    <row r="106" spans="3:27" x14ac:dyDescent="0.3">
      <c r="F106" s="78" t="s">
        <v>296</v>
      </c>
      <c r="G106" s="64" t="s">
        <v>167</v>
      </c>
      <c r="H106" s="107">
        <f>'Inputs by network level'!K43</f>
        <v>0.64575349232317547</v>
      </c>
    </row>
    <row r="107" spans="3:27" x14ac:dyDescent="0.3">
      <c r="F107" s="72" t="s">
        <v>305</v>
      </c>
      <c r="G107" s="28" t="s">
        <v>167</v>
      </c>
      <c r="H107" s="156">
        <f>SUM(H103:H104) - H106</f>
        <v>0.35424650767682453</v>
      </c>
    </row>
    <row r="108" spans="3:27" x14ac:dyDescent="0.3">
      <c r="F108" s="80" t="s">
        <v>257</v>
      </c>
      <c r="G108" s="67" t="s">
        <v>167</v>
      </c>
      <c r="H108" s="157">
        <f>H105</f>
        <v>0</v>
      </c>
    </row>
    <row r="109" spans="3:27" x14ac:dyDescent="0.3">
      <c r="F109" s="29"/>
      <c r="G109" s="28"/>
    </row>
    <row r="110" spans="3:27" x14ac:dyDescent="0.3">
      <c r="E110" s="32" t="s">
        <v>480</v>
      </c>
      <c r="G110" s="28"/>
    </row>
    <row r="111" spans="3:27" x14ac:dyDescent="0.3">
      <c r="F111" s="78" t="s">
        <v>465</v>
      </c>
      <c r="G111" s="64" t="s">
        <v>167</v>
      </c>
      <c r="H111" s="107">
        <f>'Inputs by network level'!L40</f>
        <v>0.86215034863226891</v>
      </c>
    </row>
    <row r="112" spans="3:27" x14ac:dyDescent="0.3">
      <c r="F112" s="72" t="s">
        <v>466</v>
      </c>
      <c r="G112" s="28" t="s">
        <v>167</v>
      </c>
      <c r="H112" s="25">
        <f>'Inputs by network level'!L41</f>
        <v>0.12091051771447155</v>
      </c>
    </row>
    <row r="113" spans="5:8" x14ac:dyDescent="0.3">
      <c r="F113" s="80" t="s">
        <v>257</v>
      </c>
      <c r="G113" s="67" t="s">
        <v>167</v>
      </c>
      <c r="H113" s="141">
        <f>'Inputs by network level'!L42</f>
        <v>1.6939133653259563E-2</v>
      </c>
    </row>
    <row r="114" spans="5:8" x14ac:dyDescent="0.3">
      <c r="F114" s="78" t="s">
        <v>296</v>
      </c>
      <c r="G114" s="64" t="s">
        <v>167</v>
      </c>
      <c r="H114" s="107">
        <f>'Inputs by network level'!L43</f>
        <v>0.75685404834867731</v>
      </c>
    </row>
    <row r="115" spans="5:8" x14ac:dyDescent="0.3">
      <c r="F115" s="72" t="s">
        <v>305</v>
      </c>
      <c r="G115" s="28" t="s">
        <v>167</v>
      </c>
      <c r="H115" s="156">
        <f>SUM(H111:H112) - H114</f>
        <v>0.22620681799806319</v>
      </c>
    </row>
    <row r="116" spans="5:8" x14ac:dyDescent="0.3">
      <c r="F116" s="80" t="s">
        <v>257</v>
      </c>
      <c r="G116" s="67" t="s">
        <v>167</v>
      </c>
      <c r="H116" s="157">
        <f>H113</f>
        <v>1.6939133653259563E-2</v>
      </c>
    </row>
    <row r="117" spans="5:8" x14ac:dyDescent="0.3">
      <c r="F117" s="29"/>
      <c r="G117" s="28"/>
    </row>
    <row r="118" spans="5:8" x14ac:dyDescent="0.3">
      <c r="E118" s="32" t="s">
        <v>481</v>
      </c>
      <c r="G118" s="28"/>
    </row>
    <row r="119" spans="5:8" x14ac:dyDescent="0.3">
      <c r="F119" s="78" t="s">
        <v>465</v>
      </c>
      <c r="G119" s="64" t="s">
        <v>167</v>
      </c>
      <c r="H119" s="107">
        <f>'Inputs by network level'!M40</f>
        <v>0.86215034863226891</v>
      </c>
    </row>
    <row r="120" spans="5:8" x14ac:dyDescent="0.3">
      <c r="F120" s="72" t="s">
        <v>466</v>
      </c>
      <c r="G120" s="28" t="s">
        <v>167</v>
      </c>
      <c r="H120" s="25">
        <f>'Inputs by network level'!M41</f>
        <v>0.12091051771447155</v>
      </c>
    </row>
    <row r="121" spans="5:8" x14ac:dyDescent="0.3">
      <c r="F121" s="80" t="s">
        <v>257</v>
      </c>
      <c r="G121" s="67" t="s">
        <v>167</v>
      </c>
      <c r="H121" s="141">
        <f>'Inputs by network level'!M42</f>
        <v>1.6939133653259563E-2</v>
      </c>
    </row>
    <row r="122" spans="5:8" x14ac:dyDescent="0.3">
      <c r="F122" s="78" t="s">
        <v>296</v>
      </c>
      <c r="G122" s="64" t="s">
        <v>167</v>
      </c>
      <c r="H122" s="107">
        <f>'Inputs by network level'!M43</f>
        <v>0.75685404834867731</v>
      </c>
    </row>
    <row r="123" spans="5:8" x14ac:dyDescent="0.3">
      <c r="F123" s="72" t="s">
        <v>305</v>
      </c>
      <c r="G123" s="28" t="s">
        <v>167</v>
      </c>
      <c r="H123" s="156">
        <f>SUM(H119:H120) - H122</f>
        <v>0.22620681799806319</v>
      </c>
    </row>
    <row r="124" spans="5:8" x14ac:dyDescent="0.3">
      <c r="F124" s="80" t="s">
        <v>257</v>
      </c>
      <c r="G124" s="67" t="s">
        <v>167</v>
      </c>
      <c r="H124" s="157">
        <f>H121</f>
        <v>1.6939133653259563E-2</v>
      </c>
    </row>
    <row r="125" spans="5:8" x14ac:dyDescent="0.3">
      <c r="F125" s="29"/>
      <c r="G125" s="28"/>
    </row>
    <row r="126" spans="5:8" x14ac:dyDescent="0.3">
      <c r="E126" s="32" t="s">
        <v>482</v>
      </c>
      <c r="G126" s="28"/>
    </row>
    <row r="127" spans="5:8" x14ac:dyDescent="0.3">
      <c r="F127" s="78" t="s">
        <v>465</v>
      </c>
      <c r="G127" s="64" t="s">
        <v>167</v>
      </c>
      <c r="H127" s="107">
        <f>'Inputs by network level'!N40</f>
        <v>0.61577106197342923</v>
      </c>
    </row>
    <row r="128" spans="5:8" x14ac:dyDescent="0.3">
      <c r="F128" s="72" t="s">
        <v>466</v>
      </c>
      <c r="G128" s="28" t="s">
        <v>167</v>
      </c>
      <c r="H128" s="25">
        <f>'Inputs by network level'!N41</f>
        <v>0.33829193174578481</v>
      </c>
    </row>
    <row r="129" spans="5:8" x14ac:dyDescent="0.3">
      <c r="F129" s="80" t="s">
        <v>257</v>
      </c>
      <c r="G129" s="67" t="s">
        <v>167</v>
      </c>
      <c r="H129" s="141">
        <f>'Inputs by network level'!N42</f>
        <v>4.5937006280785918E-2</v>
      </c>
    </row>
    <row r="130" spans="5:8" x14ac:dyDescent="0.3">
      <c r="F130" s="78" t="s">
        <v>296</v>
      </c>
      <c r="G130" s="64" t="s">
        <v>167</v>
      </c>
      <c r="H130" s="107">
        <f>'Inputs by network level'!N43</f>
        <v>0.47038069742442074</v>
      </c>
    </row>
    <row r="131" spans="5:8" x14ac:dyDescent="0.3">
      <c r="F131" s="72" t="s">
        <v>305</v>
      </c>
      <c r="G131" s="28" t="s">
        <v>167</v>
      </c>
      <c r="H131" s="156">
        <f>SUM(H127:H128) - H130</f>
        <v>0.48368229629479326</v>
      </c>
    </row>
    <row r="132" spans="5:8" x14ac:dyDescent="0.3">
      <c r="F132" s="80" t="s">
        <v>257</v>
      </c>
      <c r="G132" s="67" t="s">
        <v>167</v>
      </c>
      <c r="H132" s="157">
        <f>H129</f>
        <v>4.5937006280785918E-2</v>
      </c>
    </row>
    <row r="133" spans="5:8" x14ac:dyDescent="0.3">
      <c r="F133" s="29"/>
      <c r="G133" s="28"/>
    </row>
    <row r="134" spans="5:8" x14ac:dyDescent="0.3">
      <c r="E134" s="32" t="s">
        <v>483</v>
      </c>
      <c r="G134" s="28"/>
    </row>
    <row r="135" spans="5:8" x14ac:dyDescent="0.3">
      <c r="F135" s="78" t="s">
        <v>465</v>
      </c>
      <c r="G135" s="64" t="s">
        <v>167</v>
      </c>
      <c r="H135" s="107">
        <f>'Inputs by network level'!O40</f>
        <v>0.61577106197342923</v>
      </c>
    </row>
    <row r="136" spans="5:8" x14ac:dyDescent="0.3">
      <c r="F136" s="72" t="s">
        <v>466</v>
      </c>
      <c r="G136" s="28" t="s">
        <v>167</v>
      </c>
      <c r="H136" s="25">
        <f>'Inputs by network level'!O41</f>
        <v>0.33829193174578481</v>
      </c>
    </row>
    <row r="137" spans="5:8" x14ac:dyDescent="0.3">
      <c r="F137" s="80" t="s">
        <v>257</v>
      </c>
      <c r="G137" s="67" t="s">
        <v>167</v>
      </c>
      <c r="H137" s="141">
        <f>'Inputs by network level'!O42</f>
        <v>4.5937006280785918E-2</v>
      </c>
    </row>
    <row r="138" spans="5:8" x14ac:dyDescent="0.3">
      <c r="F138" s="78" t="s">
        <v>296</v>
      </c>
      <c r="G138" s="64" t="s">
        <v>167</v>
      </c>
      <c r="H138" s="107">
        <f>'Inputs by network level'!O43</f>
        <v>0.47038069742442074</v>
      </c>
    </row>
    <row r="139" spans="5:8" x14ac:dyDescent="0.3">
      <c r="F139" s="72" t="s">
        <v>305</v>
      </c>
      <c r="G139" s="28" t="s">
        <v>167</v>
      </c>
      <c r="H139" s="156">
        <f>SUM(H135:H136) - H138</f>
        <v>0.48368229629479326</v>
      </c>
    </row>
    <row r="140" spans="5:8" x14ac:dyDescent="0.3">
      <c r="F140" s="80" t="s">
        <v>257</v>
      </c>
      <c r="G140" s="67" t="s">
        <v>167</v>
      </c>
      <c r="H140" s="157">
        <f>H137</f>
        <v>4.5937006280785918E-2</v>
      </c>
    </row>
    <row r="141" spans="5:8" x14ac:dyDescent="0.3">
      <c r="F141" s="29"/>
      <c r="G141" s="28"/>
    </row>
    <row r="142" spans="5:8" x14ac:dyDescent="0.3">
      <c r="E142" s="32" t="s">
        <v>484</v>
      </c>
      <c r="G142" s="28"/>
    </row>
    <row r="143" spans="5:8" x14ac:dyDescent="0.3">
      <c r="F143" s="78" t="s">
        <v>465</v>
      </c>
      <c r="G143" s="64" t="s">
        <v>167</v>
      </c>
      <c r="H143" s="107">
        <f>'Inputs by network level'!P40</f>
        <v>0.86215034863226891</v>
      </c>
    </row>
    <row r="144" spans="5:8" x14ac:dyDescent="0.3">
      <c r="F144" s="72" t="s">
        <v>466</v>
      </c>
      <c r="G144" s="28" t="s">
        <v>167</v>
      </c>
      <c r="H144" s="25">
        <f>'Inputs by network level'!P41</f>
        <v>0.12091051771447155</v>
      </c>
    </row>
    <row r="145" spans="5:8" x14ac:dyDescent="0.3">
      <c r="F145" s="80" t="s">
        <v>257</v>
      </c>
      <c r="G145" s="67" t="s">
        <v>167</v>
      </c>
      <c r="H145" s="141">
        <f>'Inputs by network level'!P42</f>
        <v>1.6939133653259563E-2</v>
      </c>
    </row>
    <row r="146" spans="5:8" x14ac:dyDescent="0.3">
      <c r="F146" s="78" t="s">
        <v>296</v>
      </c>
      <c r="G146" s="64" t="s">
        <v>167</v>
      </c>
      <c r="H146" s="107">
        <f>'Inputs by network level'!P43</f>
        <v>0.75685404834867731</v>
      </c>
    </row>
    <row r="147" spans="5:8" x14ac:dyDescent="0.3">
      <c r="F147" s="72" t="s">
        <v>305</v>
      </c>
      <c r="G147" s="28" t="s">
        <v>167</v>
      </c>
      <c r="H147" s="156">
        <f>SUM(H143:H144) - H146</f>
        <v>0.22620681799806319</v>
      </c>
    </row>
    <row r="148" spans="5:8" x14ac:dyDescent="0.3">
      <c r="F148" s="80" t="s">
        <v>257</v>
      </c>
      <c r="G148" s="67" t="s">
        <v>167</v>
      </c>
      <c r="H148" s="157">
        <f>H145</f>
        <v>1.6939133653259563E-2</v>
      </c>
    </row>
    <row r="149" spans="5:8" x14ac:dyDescent="0.3">
      <c r="F149" s="29"/>
      <c r="G149" s="28"/>
    </row>
    <row r="150" spans="5:8" x14ac:dyDescent="0.3">
      <c r="E150" s="32" t="s">
        <v>485</v>
      </c>
      <c r="G150" s="28"/>
    </row>
    <row r="151" spans="5:8" x14ac:dyDescent="0.3">
      <c r="F151" s="78" t="s">
        <v>465</v>
      </c>
      <c r="G151" s="64" t="s">
        <v>167</v>
      </c>
      <c r="H151" s="107">
        <f>'Inputs by network level'!Q40</f>
        <v>0.61577106197342923</v>
      </c>
    </row>
    <row r="152" spans="5:8" x14ac:dyDescent="0.3">
      <c r="F152" s="72" t="s">
        <v>466</v>
      </c>
      <c r="G152" s="28" t="s">
        <v>167</v>
      </c>
      <c r="H152" s="25">
        <f>'Inputs by network level'!Q41</f>
        <v>0.33829193174578481</v>
      </c>
    </row>
    <row r="153" spans="5:8" x14ac:dyDescent="0.3">
      <c r="F153" s="80" t="s">
        <v>257</v>
      </c>
      <c r="G153" s="67" t="s">
        <v>167</v>
      </c>
      <c r="H153" s="141">
        <f>'Inputs by network level'!Q42</f>
        <v>4.5937006280785918E-2</v>
      </c>
    </row>
    <row r="154" spans="5:8" x14ac:dyDescent="0.3">
      <c r="F154" s="78" t="s">
        <v>296</v>
      </c>
      <c r="G154" s="64" t="s">
        <v>167</v>
      </c>
      <c r="H154" s="107">
        <f>'Inputs by network level'!Q43</f>
        <v>0.47038069742442074</v>
      </c>
    </row>
    <row r="155" spans="5:8" x14ac:dyDescent="0.3">
      <c r="F155" s="72" t="s">
        <v>305</v>
      </c>
      <c r="G155" s="28" t="s">
        <v>167</v>
      </c>
      <c r="H155" s="156">
        <f>SUM(H151:H152) - H154</f>
        <v>0.48368229629479326</v>
      </c>
    </row>
    <row r="156" spans="5:8" x14ac:dyDescent="0.3">
      <c r="F156" s="80" t="s">
        <v>257</v>
      </c>
      <c r="G156" s="67" t="s">
        <v>167</v>
      </c>
      <c r="H156" s="157">
        <f>H153</f>
        <v>4.5937006280785918E-2</v>
      </c>
    </row>
    <row r="157" spans="5:8" x14ac:dyDescent="0.3">
      <c r="F157" s="29"/>
      <c r="G157" s="28"/>
    </row>
    <row r="158" spans="5:8" x14ac:dyDescent="0.3">
      <c r="E158" s="32" t="s">
        <v>486</v>
      </c>
      <c r="G158" s="28"/>
    </row>
    <row r="159" spans="5:8" x14ac:dyDescent="0.3">
      <c r="F159" s="78" t="s">
        <v>465</v>
      </c>
      <c r="G159" s="64" t="s">
        <v>167</v>
      </c>
      <c r="H159" s="107">
        <f>'Inputs by network level'!R40</f>
        <v>0.61577106197342923</v>
      </c>
    </row>
    <row r="160" spans="5:8" x14ac:dyDescent="0.3">
      <c r="F160" s="72" t="s">
        <v>466</v>
      </c>
      <c r="G160" s="28" t="s">
        <v>167</v>
      </c>
      <c r="H160" s="25">
        <f>'Inputs by network level'!R41</f>
        <v>0.33829193174578481</v>
      </c>
    </row>
    <row r="161" spans="3:27" x14ac:dyDescent="0.3">
      <c r="F161" s="80" t="s">
        <v>257</v>
      </c>
      <c r="G161" s="67" t="s">
        <v>167</v>
      </c>
      <c r="H161" s="141">
        <f>'Inputs by network level'!R42</f>
        <v>4.5937006280785918E-2</v>
      </c>
    </row>
    <row r="162" spans="3:27" x14ac:dyDescent="0.3">
      <c r="F162" s="78" t="s">
        <v>296</v>
      </c>
      <c r="G162" s="64" t="s">
        <v>167</v>
      </c>
      <c r="H162" s="107">
        <f>'Inputs by network level'!R43</f>
        <v>0.47038069742442074</v>
      </c>
    </row>
    <row r="163" spans="3:27" x14ac:dyDescent="0.3">
      <c r="F163" s="72" t="s">
        <v>305</v>
      </c>
      <c r="G163" s="28" t="s">
        <v>167</v>
      </c>
      <c r="H163" s="156">
        <f>SUM(H159:H160) - H162</f>
        <v>0.48368229629479326</v>
      </c>
    </row>
    <row r="164" spans="3:27" x14ac:dyDescent="0.3">
      <c r="F164" s="80" t="s">
        <v>257</v>
      </c>
      <c r="G164" s="67" t="s">
        <v>167</v>
      </c>
      <c r="H164" s="157">
        <f>H161</f>
        <v>4.5937006280785918E-2</v>
      </c>
    </row>
    <row r="165" spans="3:27" x14ac:dyDescent="0.3">
      <c r="F165" s="29"/>
      <c r="G165" s="28"/>
    </row>
    <row r="166" spans="3:27" x14ac:dyDescent="0.3">
      <c r="E166" s="32" t="s">
        <v>487</v>
      </c>
      <c r="G166" s="28"/>
    </row>
    <row r="167" spans="3:27" x14ac:dyDescent="0.3">
      <c r="F167" s="78" t="s">
        <v>465</v>
      </c>
      <c r="G167" s="64" t="s">
        <v>167</v>
      </c>
      <c r="H167" s="107">
        <f>'Inputs by network level'!S40</f>
        <v>0.61577106197342923</v>
      </c>
    </row>
    <row r="168" spans="3:27" x14ac:dyDescent="0.3">
      <c r="F168" s="72" t="s">
        <v>466</v>
      </c>
      <c r="G168" s="28" t="s">
        <v>167</v>
      </c>
      <c r="H168" s="25">
        <f>'Inputs by network level'!S41</f>
        <v>0.33829193174578481</v>
      </c>
    </row>
    <row r="169" spans="3:27" x14ac:dyDescent="0.3">
      <c r="F169" s="80" t="s">
        <v>257</v>
      </c>
      <c r="G169" s="67" t="s">
        <v>167</v>
      </c>
      <c r="H169" s="141">
        <f>'Inputs by network level'!S42</f>
        <v>4.5937006280785918E-2</v>
      </c>
    </row>
    <row r="170" spans="3:27" x14ac:dyDescent="0.3">
      <c r="F170" s="78" t="s">
        <v>296</v>
      </c>
      <c r="G170" s="64" t="s">
        <v>167</v>
      </c>
      <c r="H170" s="107">
        <f>'Inputs by network level'!S43</f>
        <v>0.47038069742442074</v>
      </c>
    </row>
    <row r="171" spans="3:27" x14ac:dyDescent="0.3">
      <c r="F171" s="72" t="s">
        <v>305</v>
      </c>
      <c r="G171" s="28" t="s">
        <v>167</v>
      </c>
      <c r="H171" s="156">
        <f>SUM(H167:H168) - H170</f>
        <v>0.48368229629479326</v>
      </c>
    </row>
    <row r="172" spans="3:27" x14ac:dyDescent="0.3">
      <c r="F172" s="80" t="s">
        <v>257</v>
      </c>
      <c r="G172" s="67" t="s">
        <v>167</v>
      </c>
      <c r="H172" s="157">
        <f>H169</f>
        <v>4.5937006280785918E-2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0.86968448709933899</v>
      </c>
      <c r="K177" s="154">
        <f t="shared" si="17"/>
        <v>0.86968448709933899</v>
      </c>
      <c r="L177" s="154">
        <f t="shared" ref="L177:M177" si="18">IF(L$20, $H106, $H103)</f>
        <v>0.86968448709933899</v>
      </c>
      <c r="M177" s="154">
        <f t="shared" si="18"/>
        <v>0.86968448709933899</v>
      </c>
      <c r="N177" s="154">
        <f t="shared" ref="N177:P177" si="19">IF(N$20, $H106, $H103)</f>
        <v>0.86968448709933899</v>
      </c>
      <c r="O177" s="154">
        <f t="shared" si="19"/>
        <v>0.86968448709933899</v>
      </c>
      <c r="P177" s="154">
        <f t="shared" si="19"/>
        <v>0.86968448709933899</v>
      </c>
      <c r="Q177" s="154">
        <f t="shared" ref="Q177:S177" si="20">IF(Q$20, $H106, $H103)</f>
        <v>0.64575349232317547</v>
      </c>
      <c r="R177" s="154">
        <f t="shared" si="20"/>
        <v>0.86968448709933899</v>
      </c>
      <c r="S177" s="154">
        <f t="shared" si="20"/>
        <v>0.86968448709933899</v>
      </c>
      <c r="T177" s="154">
        <f t="shared" ref="T177:U177" si="21">IF(T$20, $H106, $H103)</f>
        <v>0.86968448709933899</v>
      </c>
      <c r="U177" s="154">
        <f t="shared" si="21"/>
        <v>0.86968448709933899</v>
      </c>
      <c r="V177" s="154">
        <f t="shared" ref="V177:W177" si="22">IF(V$20, $H106, $H103)</f>
        <v>0.86968448709933899</v>
      </c>
      <c r="W177" s="154">
        <f t="shared" si="22"/>
        <v>0.86968448709933899</v>
      </c>
      <c r="X177" s="154">
        <f t="shared" ref="X177:Y177" si="23">IF(X$20, $H106, $H103)</f>
        <v>0.86968448709933899</v>
      </c>
      <c r="Y177" s="154">
        <f t="shared" si="23"/>
        <v>0.86968448709933899</v>
      </c>
    </row>
    <row r="178" spans="5:25" x14ac:dyDescent="0.3">
      <c r="E178" s="29"/>
      <c r="F178" s="72" t="s">
        <v>466</v>
      </c>
      <c r="G178" s="28" t="s">
        <v>167</v>
      </c>
      <c r="H178" s="25"/>
      <c r="J178" s="145">
        <f t="shared" ref="J178:K178" si="24">IF(J$20, $H107, $H104)</f>
        <v>0.13031551290066112</v>
      </c>
      <c r="K178" s="145">
        <f t="shared" si="24"/>
        <v>0.13031551290066112</v>
      </c>
      <c r="L178" s="145">
        <f t="shared" ref="L178:M178" si="25">IF(L$20, $H107, $H104)</f>
        <v>0.13031551290066112</v>
      </c>
      <c r="M178" s="145">
        <f t="shared" si="25"/>
        <v>0.13031551290066112</v>
      </c>
      <c r="N178" s="145">
        <f t="shared" ref="N178:P178" si="26">IF(N$20, $H107, $H104)</f>
        <v>0.13031551290066112</v>
      </c>
      <c r="O178" s="145">
        <f t="shared" si="26"/>
        <v>0.13031551290066112</v>
      </c>
      <c r="P178" s="145">
        <f t="shared" si="26"/>
        <v>0.13031551290066112</v>
      </c>
      <c r="Q178" s="145">
        <f t="shared" ref="Q178:S178" si="27">IF(Q$20, $H107, $H104)</f>
        <v>0.35424650767682453</v>
      </c>
      <c r="R178" s="145">
        <f t="shared" si="27"/>
        <v>0.13031551290066112</v>
      </c>
      <c r="S178" s="145">
        <f t="shared" si="27"/>
        <v>0.13031551290066112</v>
      </c>
      <c r="T178" s="145">
        <f t="shared" ref="T178:U178" si="28">IF(T$20, $H107, $H104)</f>
        <v>0.13031551290066112</v>
      </c>
      <c r="U178" s="145">
        <f t="shared" si="28"/>
        <v>0.13031551290066112</v>
      </c>
      <c r="V178" s="145">
        <f t="shared" ref="V178:W178" si="29">IF(V$20, $H107, $H104)</f>
        <v>0.13031551290066112</v>
      </c>
      <c r="W178" s="145">
        <f t="shared" si="29"/>
        <v>0.13031551290066112</v>
      </c>
      <c r="X178" s="145">
        <f t="shared" ref="X178:Y178" si="30">IF(X$20, $H107, $H104)</f>
        <v>0.13031551290066112</v>
      </c>
      <c r="Y178" s="145">
        <f t="shared" si="30"/>
        <v>0.13031551290066112</v>
      </c>
    </row>
    <row r="179" spans="5:25" x14ac:dyDescent="0.3">
      <c r="E179" s="29"/>
      <c r="F179" s="80" t="s">
        <v>257</v>
      </c>
      <c r="G179" s="67" t="s">
        <v>167</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0.86215034863226891</v>
      </c>
      <c r="K182" s="154">
        <f t="shared" si="38"/>
        <v>0.86215034863226891</v>
      </c>
      <c r="L182" s="154">
        <f t="shared" ref="L182:M182" si="39">IF(L$20, $H114, $H111)</f>
        <v>0.86215034863226891</v>
      </c>
      <c r="M182" s="154">
        <f t="shared" si="39"/>
        <v>0.86215034863226891</v>
      </c>
      <c r="N182" s="154">
        <f t="shared" ref="N182:P182" si="40">IF(N$20, $H114, $H111)</f>
        <v>0.86215034863226891</v>
      </c>
      <c r="O182" s="154">
        <f t="shared" si="40"/>
        <v>0.86215034863226891</v>
      </c>
      <c r="P182" s="154">
        <f t="shared" si="40"/>
        <v>0.86215034863226891</v>
      </c>
      <c r="Q182" s="154">
        <f t="shared" ref="Q182:S182" si="41">IF(Q$20, $H114, $H111)</f>
        <v>0.75685404834867731</v>
      </c>
      <c r="R182" s="154">
        <f t="shared" si="41"/>
        <v>0.86215034863226891</v>
      </c>
      <c r="S182" s="154">
        <f t="shared" si="41"/>
        <v>0.86215034863226891</v>
      </c>
      <c r="T182" s="154">
        <f t="shared" ref="T182:U182" si="42">IF(T$20, $H114, $H111)</f>
        <v>0.86215034863226891</v>
      </c>
      <c r="U182" s="154">
        <f t="shared" si="42"/>
        <v>0.86215034863226891</v>
      </c>
      <c r="V182" s="154">
        <f t="shared" ref="V182:W182" si="43">IF(V$20, $H114, $H111)</f>
        <v>0.86215034863226891</v>
      </c>
      <c r="W182" s="154">
        <f t="shared" si="43"/>
        <v>0.86215034863226891</v>
      </c>
      <c r="X182" s="154">
        <f t="shared" ref="X182:Y182" si="44">IF(X$20, $H114, $H111)</f>
        <v>0.86215034863226891</v>
      </c>
      <c r="Y182" s="154">
        <f t="shared" si="44"/>
        <v>0.86215034863226891</v>
      </c>
    </row>
    <row r="183" spans="5:25" x14ac:dyDescent="0.3">
      <c r="E183" s="29"/>
      <c r="F183" s="72" t="s">
        <v>466</v>
      </c>
      <c r="G183" s="28" t="s">
        <v>167</v>
      </c>
      <c r="H183" s="25"/>
      <c r="J183" s="145">
        <f t="shared" ref="J183:K183" si="45">IF(J$20, $H115, $H112)</f>
        <v>0.12091051771447155</v>
      </c>
      <c r="K183" s="145">
        <f t="shared" si="45"/>
        <v>0.12091051771447155</v>
      </c>
      <c r="L183" s="145">
        <f t="shared" ref="L183:M183" si="46">IF(L$20, $H115, $H112)</f>
        <v>0.12091051771447155</v>
      </c>
      <c r="M183" s="145">
        <f t="shared" si="46"/>
        <v>0.12091051771447155</v>
      </c>
      <c r="N183" s="145">
        <f t="shared" ref="N183:P183" si="47">IF(N$20, $H115, $H112)</f>
        <v>0.12091051771447155</v>
      </c>
      <c r="O183" s="145">
        <f t="shared" si="47"/>
        <v>0.12091051771447155</v>
      </c>
      <c r="P183" s="145">
        <f t="shared" si="47"/>
        <v>0.12091051771447155</v>
      </c>
      <c r="Q183" s="145">
        <f t="shared" ref="Q183:S183" si="48">IF(Q$20, $H115, $H112)</f>
        <v>0.22620681799806319</v>
      </c>
      <c r="R183" s="145">
        <f t="shared" si="48"/>
        <v>0.12091051771447155</v>
      </c>
      <c r="S183" s="145">
        <f t="shared" si="48"/>
        <v>0.12091051771447155</v>
      </c>
      <c r="T183" s="145">
        <f t="shared" ref="T183:U183" si="49">IF(T$20, $H115, $H112)</f>
        <v>0.12091051771447155</v>
      </c>
      <c r="U183" s="145">
        <f t="shared" si="49"/>
        <v>0.12091051771447155</v>
      </c>
      <c r="V183" s="145">
        <f t="shared" ref="V183:W183" si="50">IF(V$20, $H115, $H112)</f>
        <v>0.12091051771447155</v>
      </c>
      <c r="W183" s="145">
        <f t="shared" si="50"/>
        <v>0.12091051771447155</v>
      </c>
      <c r="X183" s="145">
        <f t="shared" ref="X183:Y183" si="51">IF(X$20, $H115, $H112)</f>
        <v>0.12091051771447155</v>
      </c>
      <c r="Y183" s="145">
        <f t="shared" si="51"/>
        <v>0.12091051771447155</v>
      </c>
    </row>
    <row r="184" spans="5:25" x14ac:dyDescent="0.3">
      <c r="E184" s="29"/>
      <c r="F184" s="80" t="s">
        <v>257</v>
      </c>
      <c r="G184" s="67" t="s">
        <v>167</v>
      </c>
      <c r="H184" s="141"/>
      <c r="I184" s="37"/>
      <c r="J184" s="155">
        <f t="shared" ref="J184:K184" si="52">IF(J$20, $H116, $H113)</f>
        <v>1.6939133653259563E-2</v>
      </c>
      <c r="K184" s="155">
        <f t="shared" si="52"/>
        <v>1.6939133653259563E-2</v>
      </c>
      <c r="L184" s="155">
        <f t="shared" ref="L184:M184" si="53">IF(L$20, $H116, $H113)</f>
        <v>1.6939133653259563E-2</v>
      </c>
      <c r="M184" s="155">
        <f t="shared" si="53"/>
        <v>1.6939133653259563E-2</v>
      </c>
      <c r="N184" s="155">
        <f t="shared" ref="N184:P184" si="54">IF(N$20, $H116, $H113)</f>
        <v>1.6939133653259563E-2</v>
      </c>
      <c r="O184" s="155">
        <f t="shared" si="54"/>
        <v>1.6939133653259563E-2</v>
      </c>
      <c r="P184" s="155">
        <f t="shared" si="54"/>
        <v>1.6939133653259563E-2</v>
      </c>
      <c r="Q184" s="155">
        <f t="shared" ref="Q184:S184" si="55">IF(Q$20, $H116, $H113)</f>
        <v>1.6939133653259563E-2</v>
      </c>
      <c r="R184" s="155">
        <f t="shared" si="55"/>
        <v>1.6939133653259563E-2</v>
      </c>
      <c r="S184" s="155">
        <f t="shared" si="55"/>
        <v>1.6939133653259563E-2</v>
      </c>
      <c r="T184" s="155">
        <f t="shared" ref="T184:U184" si="56">IF(T$20, $H116, $H113)</f>
        <v>1.6939133653259563E-2</v>
      </c>
      <c r="U184" s="155">
        <f t="shared" si="56"/>
        <v>1.6939133653259563E-2</v>
      </c>
      <c r="V184" s="155">
        <f t="shared" ref="V184:W184" si="57">IF(V$20, $H116, $H113)</f>
        <v>1.6939133653259563E-2</v>
      </c>
      <c r="W184" s="155">
        <f t="shared" si="57"/>
        <v>1.6939133653259563E-2</v>
      </c>
      <c r="X184" s="155">
        <f t="shared" ref="X184:Y184" si="58">IF(X$20, $H116, $H113)</f>
        <v>1.6939133653259563E-2</v>
      </c>
      <c r="Y184" s="155">
        <f t="shared" si="58"/>
        <v>1.6939133653259563E-2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0.86215034863226891</v>
      </c>
      <c r="K187" s="154">
        <f t="shared" si="59"/>
        <v>0.86215034863226891</v>
      </c>
      <c r="L187" s="154">
        <f t="shared" ref="L187:M187" si="60">IF(L$20, $H122, $H119)</f>
        <v>0.86215034863226891</v>
      </c>
      <c r="M187" s="154">
        <f t="shared" si="60"/>
        <v>0.86215034863226891</v>
      </c>
      <c r="N187" s="154">
        <f t="shared" ref="N187:P187" si="61">IF(N$20, $H122, $H119)</f>
        <v>0.86215034863226891</v>
      </c>
      <c r="O187" s="154">
        <f t="shared" si="61"/>
        <v>0.86215034863226891</v>
      </c>
      <c r="P187" s="154">
        <f t="shared" si="61"/>
        <v>0.86215034863226891</v>
      </c>
      <c r="Q187" s="154">
        <f t="shared" ref="Q187:S187" si="62">IF(Q$20, $H122, $H119)</f>
        <v>0.75685404834867731</v>
      </c>
      <c r="R187" s="154">
        <f t="shared" si="62"/>
        <v>0.86215034863226891</v>
      </c>
      <c r="S187" s="154">
        <f t="shared" si="62"/>
        <v>0.86215034863226891</v>
      </c>
      <c r="T187" s="154">
        <f t="shared" ref="T187:U187" si="63">IF(T$20, $H122, $H119)</f>
        <v>0.86215034863226891</v>
      </c>
      <c r="U187" s="154">
        <f t="shared" si="63"/>
        <v>0.86215034863226891</v>
      </c>
      <c r="V187" s="154">
        <f t="shared" ref="V187:W187" si="64">IF(V$20, $H122, $H119)</f>
        <v>0.86215034863226891</v>
      </c>
      <c r="W187" s="154">
        <f t="shared" si="64"/>
        <v>0.86215034863226891</v>
      </c>
      <c r="X187" s="154">
        <f t="shared" ref="X187:Y187" si="65">IF(X$20, $H122, $H119)</f>
        <v>0.86215034863226891</v>
      </c>
      <c r="Y187" s="154">
        <f t="shared" si="65"/>
        <v>0.86215034863226891</v>
      </c>
    </row>
    <row r="188" spans="5:25" x14ac:dyDescent="0.3">
      <c r="E188" s="29"/>
      <c r="F188" s="72" t="s">
        <v>466</v>
      </c>
      <c r="G188" s="28" t="s">
        <v>167</v>
      </c>
      <c r="H188" s="25"/>
      <c r="J188" s="145">
        <f t="shared" ref="J188:K188" si="66">IF(J$20, $H123, $H120)</f>
        <v>0.12091051771447155</v>
      </c>
      <c r="K188" s="145">
        <f t="shared" si="66"/>
        <v>0.12091051771447155</v>
      </c>
      <c r="L188" s="145">
        <f t="shared" ref="L188:M188" si="67">IF(L$20, $H123, $H120)</f>
        <v>0.12091051771447155</v>
      </c>
      <c r="M188" s="145">
        <f t="shared" si="67"/>
        <v>0.12091051771447155</v>
      </c>
      <c r="N188" s="145">
        <f t="shared" ref="N188:P188" si="68">IF(N$20, $H123, $H120)</f>
        <v>0.12091051771447155</v>
      </c>
      <c r="O188" s="145">
        <f t="shared" si="68"/>
        <v>0.12091051771447155</v>
      </c>
      <c r="P188" s="145">
        <f t="shared" si="68"/>
        <v>0.12091051771447155</v>
      </c>
      <c r="Q188" s="145">
        <f t="shared" ref="Q188:S188" si="69">IF(Q$20, $H123, $H120)</f>
        <v>0.22620681799806319</v>
      </c>
      <c r="R188" s="145">
        <f t="shared" si="69"/>
        <v>0.12091051771447155</v>
      </c>
      <c r="S188" s="145">
        <f t="shared" si="69"/>
        <v>0.12091051771447155</v>
      </c>
      <c r="T188" s="145">
        <f t="shared" ref="T188:U188" si="70">IF(T$20, $H123, $H120)</f>
        <v>0.12091051771447155</v>
      </c>
      <c r="U188" s="145">
        <f t="shared" si="70"/>
        <v>0.12091051771447155</v>
      </c>
      <c r="V188" s="145">
        <f t="shared" ref="V188:W188" si="71">IF(V$20, $H123, $H120)</f>
        <v>0.12091051771447155</v>
      </c>
      <c r="W188" s="145">
        <f t="shared" si="71"/>
        <v>0.12091051771447155</v>
      </c>
      <c r="X188" s="145">
        <f t="shared" ref="X188:Y188" si="72">IF(X$20, $H123, $H120)</f>
        <v>0.12091051771447155</v>
      </c>
      <c r="Y188" s="145">
        <f t="shared" si="72"/>
        <v>0.12091051771447155</v>
      </c>
    </row>
    <row r="189" spans="5:25" x14ac:dyDescent="0.3">
      <c r="E189" s="29"/>
      <c r="F189" s="80" t="s">
        <v>257</v>
      </c>
      <c r="G189" s="67" t="s">
        <v>167</v>
      </c>
      <c r="H189" s="141"/>
      <c r="I189" s="37"/>
      <c r="J189" s="155">
        <f t="shared" ref="J189:K189" si="73">IF(J$20, $H124, $H121)</f>
        <v>1.6939133653259563E-2</v>
      </c>
      <c r="K189" s="155">
        <f t="shared" si="73"/>
        <v>1.6939133653259563E-2</v>
      </c>
      <c r="L189" s="155">
        <f t="shared" ref="L189:M189" si="74">IF(L$20, $H124, $H121)</f>
        <v>1.6939133653259563E-2</v>
      </c>
      <c r="M189" s="155">
        <f t="shared" si="74"/>
        <v>1.6939133653259563E-2</v>
      </c>
      <c r="N189" s="155">
        <f t="shared" ref="N189:P189" si="75">IF(N$20, $H124, $H121)</f>
        <v>1.6939133653259563E-2</v>
      </c>
      <c r="O189" s="155">
        <f t="shared" si="75"/>
        <v>1.6939133653259563E-2</v>
      </c>
      <c r="P189" s="155">
        <f t="shared" si="75"/>
        <v>1.6939133653259563E-2</v>
      </c>
      <c r="Q189" s="155">
        <f t="shared" ref="Q189:S189" si="76">IF(Q$20, $H124, $H121)</f>
        <v>1.6939133653259563E-2</v>
      </c>
      <c r="R189" s="155">
        <f t="shared" si="76"/>
        <v>1.6939133653259563E-2</v>
      </c>
      <c r="S189" s="155">
        <f t="shared" si="76"/>
        <v>1.6939133653259563E-2</v>
      </c>
      <c r="T189" s="155">
        <f t="shared" ref="T189:U189" si="77">IF(T$20, $H124, $H121)</f>
        <v>1.6939133653259563E-2</v>
      </c>
      <c r="U189" s="155">
        <f t="shared" si="77"/>
        <v>1.6939133653259563E-2</v>
      </c>
      <c r="V189" s="155">
        <f t="shared" ref="V189:W189" si="78">IF(V$20, $H124, $H121)</f>
        <v>1.6939133653259563E-2</v>
      </c>
      <c r="W189" s="155">
        <f t="shared" si="78"/>
        <v>1.6939133653259563E-2</v>
      </c>
      <c r="X189" s="155">
        <f t="shared" ref="X189:Y189" si="79">IF(X$20, $H124, $H121)</f>
        <v>1.6939133653259563E-2</v>
      </c>
      <c r="Y189" s="155">
        <f t="shared" si="79"/>
        <v>1.6939133653259563E-2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0.61577106197342923</v>
      </c>
      <c r="K192" s="154">
        <f t="shared" si="80"/>
        <v>0.61577106197342923</v>
      </c>
      <c r="L192" s="154">
        <f t="shared" ref="L192:M192" si="81">IF(L$20, $H130, $H127)</f>
        <v>0.61577106197342923</v>
      </c>
      <c r="M192" s="154">
        <f t="shared" si="81"/>
        <v>0.61577106197342923</v>
      </c>
      <c r="N192" s="154">
        <f t="shared" ref="N192:P192" si="82">IF(N$20, $H130, $H127)</f>
        <v>0.61577106197342923</v>
      </c>
      <c r="O192" s="154">
        <f t="shared" si="82"/>
        <v>0.61577106197342923</v>
      </c>
      <c r="P192" s="154">
        <f t="shared" si="82"/>
        <v>0.61577106197342923</v>
      </c>
      <c r="Q192" s="154">
        <f t="shared" ref="Q192:S192" si="83">IF(Q$20, $H130, $H127)</f>
        <v>0.47038069742442074</v>
      </c>
      <c r="R192" s="154">
        <f t="shared" si="83"/>
        <v>0.61577106197342923</v>
      </c>
      <c r="S192" s="154">
        <f t="shared" si="83"/>
        <v>0.61577106197342923</v>
      </c>
      <c r="T192" s="154">
        <f t="shared" ref="T192:U192" si="84">IF(T$20, $H130, $H127)</f>
        <v>0.61577106197342923</v>
      </c>
      <c r="U192" s="154">
        <f t="shared" si="84"/>
        <v>0.61577106197342923</v>
      </c>
      <c r="V192" s="154">
        <f t="shared" ref="V192:W192" si="85">IF(V$20, $H130, $H127)</f>
        <v>0.61577106197342923</v>
      </c>
      <c r="W192" s="154">
        <f t="shared" si="85"/>
        <v>0.61577106197342923</v>
      </c>
      <c r="X192" s="154">
        <f t="shared" ref="X192:Y192" si="86">IF(X$20, $H130, $H127)</f>
        <v>0.61577106197342923</v>
      </c>
      <c r="Y192" s="154">
        <f t="shared" si="86"/>
        <v>0.61577106197342923</v>
      </c>
    </row>
    <row r="193" spans="5:25" x14ac:dyDescent="0.3">
      <c r="E193" s="29"/>
      <c r="F193" s="72" t="s">
        <v>466</v>
      </c>
      <c r="G193" s="28" t="s">
        <v>167</v>
      </c>
      <c r="H193" s="25"/>
      <c r="J193" s="145">
        <f t="shared" ref="J193:K193" si="87">IF(J$20, $H131, $H128)</f>
        <v>0.33829193174578481</v>
      </c>
      <c r="K193" s="145">
        <f t="shared" si="87"/>
        <v>0.33829193174578481</v>
      </c>
      <c r="L193" s="145">
        <f t="shared" ref="L193:M193" si="88">IF(L$20, $H131, $H128)</f>
        <v>0.33829193174578481</v>
      </c>
      <c r="M193" s="145">
        <f t="shared" si="88"/>
        <v>0.33829193174578481</v>
      </c>
      <c r="N193" s="145">
        <f t="shared" ref="N193:P193" si="89">IF(N$20, $H131, $H128)</f>
        <v>0.33829193174578481</v>
      </c>
      <c r="O193" s="145">
        <f t="shared" si="89"/>
        <v>0.33829193174578481</v>
      </c>
      <c r="P193" s="145">
        <f t="shared" si="89"/>
        <v>0.33829193174578481</v>
      </c>
      <c r="Q193" s="145">
        <f t="shared" ref="Q193:S193" si="90">IF(Q$20, $H131, $H128)</f>
        <v>0.48368229629479326</v>
      </c>
      <c r="R193" s="145">
        <f t="shared" si="90"/>
        <v>0.33829193174578481</v>
      </c>
      <c r="S193" s="145">
        <f t="shared" si="90"/>
        <v>0.33829193174578481</v>
      </c>
      <c r="T193" s="145">
        <f t="shared" ref="T193:U193" si="91">IF(T$20, $H131, $H128)</f>
        <v>0.33829193174578481</v>
      </c>
      <c r="U193" s="145">
        <f t="shared" si="91"/>
        <v>0.33829193174578481</v>
      </c>
      <c r="V193" s="145">
        <f t="shared" ref="V193:W193" si="92">IF(V$20, $H131, $H128)</f>
        <v>0.33829193174578481</v>
      </c>
      <c r="W193" s="145">
        <f t="shared" si="92"/>
        <v>0.33829193174578481</v>
      </c>
      <c r="X193" s="145">
        <f t="shared" ref="X193:Y193" si="93">IF(X$20, $H131, $H128)</f>
        <v>0.33829193174578481</v>
      </c>
      <c r="Y193" s="145">
        <f t="shared" si="93"/>
        <v>0.33829193174578481</v>
      </c>
    </row>
    <row r="194" spans="5:25" x14ac:dyDescent="0.3">
      <c r="E194" s="29"/>
      <c r="F194" s="80" t="s">
        <v>257</v>
      </c>
      <c r="G194" s="67" t="s">
        <v>167</v>
      </c>
      <c r="H194" s="141"/>
      <c r="I194" s="37"/>
      <c r="J194" s="155">
        <f t="shared" ref="J194:K194" si="94">IF(J$20, $H132, $H129)</f>
        <v>4.5937006280785918E-2</v>
      </c>
      <c r="K194" s="155">
        <f t="shared" si="94"/>
        <v>4.5937006280785918E-2</v>
      </c>
      <c r="L194" s="155">
        <f t="shared" ref="L194:M194" si="95">IF(L$20, $H132, $H129)</f>
        <v>4.5937006280785918E-2</v>
      </c>
      <c r="M194" s="155">
        <f t="shared" si="95"/>
        <v>4.5937006280785918E-2</v>
      </c>
      <c r="N194" s="155">
        <f t="shared" ref="N194:P194" si="96">IF(N$20, $H132, $H129)</f>
        <v>4.5937006280785918E-2</v>
      </c>
      <c r="O194" s="155">
        <f t="shared" si="96"/>
        <v>4.5937006280785918E-2</v>
      </c>
      <c r="P194" s="155">
        <f t="shared" si="96"/>
        <v>4.5937006280785918E-2</v>
      </c>
      <c r="Q194" s="155">
        <f t="shared" ref="Q194:S194" si="97">IF(Q$20, $H132, $H129)</f>
        <v>4.5937006280785918E-2</v>
      </c>
      <c r="R194" s="155">
        <f t="shared" si="97"/>
        <v>4.5937006280785918E-2</v>
      </c>
      <c r="S194" s="155">
        <f t="shared" si="97"/>
        <v>4.5937006280785918E-2</v>
      </c>
      <c r="T194" s="155">
        <f t="shared" ref="T194:U194" si="98">IF(T$20, $H132, $H129)</f>
        <v>4.5937006280785918E-2</v>
      </c>
      <c r="U194" s="155">
        <f t="shared" si="98"/>
        <v>4.5937006280785918E-2</v>
      </c>
      <c r="V194" s="155">
        <f t="shared" ref="V194:W194" si="99">IF(V$20, $H132, $H129)</f>
        <v>4.5937006280785918E-2</v>
      </c>
      <c r="W194" s="155">
        <f t="shared" si="99"/>
        <v>4.5937006280785918E-2</v>
      </c>
      <c r="X194" s="155">
        <f t="shared" ref="X194:Y194" si="100">IF(X$20, $H132, $H129)</f>
        <v>4.5937006280785918E-2</v>
      </c>
      <c r="Y194" s="155">
        <f t="shared" si="100"/>
        <v>4.5937006280785918E-2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0.61577106197342923</v>
      </c>
      <c r="K197" s="154">
        <f t="shared" si="101"/>
        <v>0.61577106197342923</v>
      </c>
      <c r="L197" s="154">
        <f t="shared" ref="L197:M197" si="102">IF(L$20, $H138, $H135)</f>
        <v>0.61577106197342923</v>
      </c>
      <c r="M197" s="154">
        <f t="shared" si="102"/>
        <v>0.61577106197342923</v>
      </c>
      <c r="N197" s="154">
        <f t="shared" ref="N197:P197" si="103">IF(N$20, $H138, $H135)</f>
        <v>0.61577106197342923</v>
      </c>
      <c r="O197" s="154">
        <f t="shared" si="103"/>
        <v>0.61577106197342923</v>
      </c>
      <c r="P197" s="154">
        <f t="shared" si="103"/>
        <v>0.61577106197342923</v>
      </c>
      <c r="Q197" s="154">
        <f t="shared" ref="Q197:S197" si="104">IF(Q$20, $H138, $H135)</f>
        <v>0.47038069742442074</v>
      </c>
      <c r="R197" s="154">
        <f t="shared" si="104"/>
        <v>0.61577106197342923</v>
      </c>
      <c r="S197" s="154">
        <f t="shared" si="104"/>
        <v>0.61577106197342923</v>
      </c>
      <c r="T197" s="154">
        <f t="shared" ref="T197:U197" si="105">IF(T$20, $H138, $H135)</f>
        <v>0.61577106197342923</v>
      </c>
      <c r="U197" s="154">
        <f t="shared" si="105"/>
        <v>0.61577106197342923</v>
      </c>
      <c r="V197" s="154">
        <f t="shared" ref="V197:W197" si="106">IF(V$20, $H138, $H135)</f>
        <v>0.61577106197342923</v>
      </c>
      <c r="W197" s="154">
        <f t="shared" si="106"/>
        <v>0.61577106197342923</v>
      </c>
      <c r="X197" s="154">
        <f t="shared" ref="X197:Y197" si="107">IF(X$20, $H138, $H135)</f>
        <v>0.61577106197342923</v>
      </c>
      <c r="Y197" s="154">
        <f t="shared" si="107"/>
        <v>0.61577106197342923</v>
      </c>
    </row>
    <row r="198" spans="5:25" x14ac:dyDescent="0.3">
      <c r="E198" s="29"/>
      <c r="F198" s="72" t="s">
        <v>466</v>
      </c>
      <c r="G198" s="28" t="s">
        <v>167</v>
      </c>
      <c r="H198" s="25"/>
      <c r="J198" s="145">
        <f t="shared" ref="J198:K198" si="108">IF(J$20, $H139, $H136)</f>
        <v>0.33829193174578481</v>
      </c>
      <c r="K198" s="145">
        <f t="shared" si="108"/>
        <v>0.33829193174578481</v>
      </c>
      <c r="L198" s="145">
        <f t="shared" ref="L198:M198" si="109">IF(L$20, $H139, $H136)</f>
        <v>0.33829193174578481</v>
      </c>
      <c r="M198" s="145">
        <f t="shared" si="109"/>
        <v>0.33829193174578481</v>
      </c>
      <c r="N198" s="145">
        <f t="shared" ref="N198:P198" si="110">IF(N$20, $H139, $H136)</f>
        <v>0.33829193174578481</v>
      </c>
      <c r="O198" s="145">
        <f t="shared" si="110"/>
        <v>0.33829193174578481</v>
      </c>
      <c r="P198" s="145">
        <f t="shared" si="110"/>
        <v>0.33829193174578481</v>
      </c>
      <c r="Q198" s="145">
        <f t="shared" ref="Q198:S198" si="111">IF(Q$20, $H139, $H136)</f>
        <v>0.48368229629479326</v>
      </c>
      <c r="R198" s="145">
        <f t="shared" si="111"/>
        <v>0.33829193174578481</v>
      </c>
      <c r="S198" s="145">
        <f t="shared" si="111"/>
        <v>0.33829193174578481</v>
      </c>
      <c r="T198" s="145">
        <f t="shared" ref="T198:U198" si="112">IF(T$20, $H139, $H136)</f>
        <v>0.33829193174578481</v>
      </c>
      <c r="U198" s="145">
        <f t="shared" si="112"/>
        <v>0.33829193174578481</v>
      </c>
      <c r="V198" s="145">
        <f t="shared" ref="V198:W198" si="113">IF(V$20, $H139, $H136)</f>
        <v>0.33829193174578481</v>
      </c>
      <c r="W198" s="145">
        <f t="shared" si="113"/>
        <v>0.33829193174578481</v>
      </c>
      <c r="X198" s="145">
        <f t="shared" ref="X198:Y198" si="114">IF(X$20, $H139, $H136)</f>
        <v>0.33829193174578481</v>
      </c>
      <c r="Y198" s="145">
        <f t="shared" si="114"/>
        <v>0.33829193174578481</v>
      </c>
    </row>
    <row r="199" spans="5:25" x14ac:dyDescent="0.3">
      <c r="E199" s="29"/>
      <c r="F199" s="80" t="s">
        <v>257</v>
      </c>
      <c r="G199" s="67" t="s">
        <v>167</v>
      </c>
      <c r="H199" s="141"/>
      <c r="I199" s="37"/>
      <c r="J199" s="155">
        <f t="shared" ref="J199:K199" si="115">IF(J$20, $H140, $H137)</f>
        <v>4.5937006280785918E-2</v>
      </c>
      <c r="K199" s="155">
        <f t="shared" si="115"/>
        <v>4.5937006280785918E-2</v>
      </c>
      <c r="L199" s="155">
        <f t="shared" ref="L199:M199" si="116">IF(L$20, $H140, $H137)</f>
        <v>4.5937006280785918E-2</v>
      </c>
      <c r="M199" s="155">
        <f t="shared" si="116"/>
        <v>4.5937006280785918E-2</v>
      </c>
      <c r="N199" s="155">
        <f t="shared" ref="N199:P199" si="117">IF(N$20, $H140, $H137)</f>
        <v>4.5937006280785918E-2</v>
      </c>
      <c r="O199" s="155">
        <f t="shared" si="117"/>
        <v>4.5937006280785918E-2</v>
      </c>
      <c r="P199" s="155">
        <f t="shared" si="117"/>
        <v>4.5937006280785918E-2</v>
      </c>
      <c r="Q199" s="155">
        <f t="shared" ref="Q199:S199" si="118">IF(Q$20, $H140, $H137)</f>
        <v>4.5937006280785918E-2</v>
      </c>
      <c r="R199" s="155">
        <f t="shared" si="118"/>
        <v>4.5937006280785918E-2</v>
      </c>
      <c r="S199" s="155">
        <f t="shared" si="118"/>
        <v>4.5937006280785918E-2</v>
      </c>
      <c r="T199" s="155">
        <f t="shared" ref="T199:U199" si="119">IF(T$20, $H140, $H137)</f>
        <v>4.5937006280785918E-2</v>
      </c>
      <c r="U199" s="155">
        <f t="shared" si="119"/>
        <v>4.5937006280785918E-2</v>
      </c>
      <c r="V199" s="155">
        <f t="shared" ref="V199:W199" si="120">IF(V$20, $H140, $H137)</f>
        <v>4.5937006280785918E-2</v>
      </c>
      <c r="W199" s="155">
        <f t="shared" si="120"/>
        <v>4.5937006280785918E-2</v>
      </c>
      <c r="X199" s="155">
        <f t="shared" ref="X199:Y199" si="121">IF(X$20, $H140, $H137)</f>
        <v>4.5937006280785918E-2</v>
      </c>
      <c r="Y199" s="155">
        <f t="shared" si="121"/>
        <v>4.5937006280785918E-2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0.86215034863226891</v>
      </c>
      <c r="K202" s="154">
        <f t="shared" si="122"/>
        <v>0.86215034863226891</v>
      </c>
      <c r="L202" s="154">
        <f t="shared" ref="L202:M202" si="123">IF(L$20, $H146, $H143)</f>
        <v>0.86215034863226891</v>
      </c>
      <c r="M202" s="154">
        <f t="shared" si="123"/>
        <v>0.86215034863226891</v>
      </c>
      <c r="N202" s="154">
        <f t="shared" ref="N202:P202" si="124">IF(N$20, $H146, $H143)</f>
        <v>0.86215034863226891</v>
      </c>
      <c r="O202" s="154">
        <f t="shared" si="124"/>
        <v>0.86215034863226891</v>
      </c>
      <c r="P202" s="154">
        <f t="shared" si="124"/>
        <v>0.86215034863226891</v>
      </c>
      <c r="Q202" s="154">
        <f t="shared" ref="Q202:S202" si="125">IF(Q$20, $H146, $H143)</f>
        <v>0.75685404834867731</v>
      </c>
      <c r="R202" s="154">
        <f t="shared" si="125"/>
        <v>0.86215034863226891</v>
      </c>
      <c r="S202" s="154">
        <f t="shared" si="125"/>
        <v>0.86215034863226891</v>
      </c>
      <c r="T202" s="154">
        <f t="shared" ref="T202:U202" si="126">IF(T$20, $H146, $H143)</f>
        <v>0.86215034863226891</v>
      </c>
      <c r="U202" s="154">
        <f t="shared" si="126"/>
        <v>0.86215034863226891</v>
      </c>
      <c r="V202" s="154">
        <f t="shared" ref="V202:W202" si="127">IF(V$20, $H146, $H143)</f>
        <v>0.86215034863226891</v>
      </c>
      <c r="W202" s="154">
        <f t="shared" si="127"/>
        <v>0.86215034863226891</v>
      </c>
      <c r="X202" s="154">
        <f t="shared" ref="X202:Y202" si="128">IF(X$20, $H146, $H143)</f>
        <v>0.86215034863226891</v>
      </c>
      <c r="Y202" s="154">
        <f t="shared" si="128"/>
        <v>0.86215034863226891</v>
      </c>
    </row>
    <row r="203" spans="5:25" x14ac:dyDescent="0.3">
      <c r="E203" s="29"/>
      <c r="F203" s="72" t="s">
        <v>466</v>
      </c>
      <c r="G203" s="28" t="s">
        <v>167</v>
      </c>
      <c r="H203" s="25"/>
      <c r="J203" s="145">
        <f t="shared" ref="J203:K203" si="129">IF(J$20, $H147, $H144)</f>
        <v>0.12091051771447155</v>
      </c>
      <c r="K203" s="145">
        <f t="shared" si="129"/>
        <v>0.12091051771447155</v>
      </c>
      <c r="L203" s="145">
        <f t="shared" ref="L203:M203" si="130">IF(L$20, $H147, $H144)</f>
        <v>0.12091051771447155</v>
      </c>
      <c r="M203" s="145">
        <f t="shared" si="130"/>
        <v>0.12091051771447155</v>
      </c>
      <c r="N203" s="145">
        <f t="shared" ref="N203:P203" si="131">IF(N$20, $H147, $H144)</f>
        <v>0.12091051771447155</v>
      </c>
      <c r="O203" s="145">
        <f t="shared" si="131"/>
        <v>0.12091051771447155</v>
      </c>
      <c r="P203" s="145">
        <f t="shared" si="131"/>
        <v>0.12091051771447155</v>
      </c>
      <c r="Q203" s="145">
        <f t="shared" ref="Q203:S203" si="132">IF(Q$20, $H147, $H144)</f>
        <v>0.22620681799806319</v>
      </c>
      <c r="R203" s="145">
        <f t="shared" si="132"/>
        <v>0.12091051771447155</v>
      </c>
      <c r="S203" s="145">
        <f t="shared" si="132"/>
        <v>0.12091051771447155</v>
      </c>
      <c r="T203" s="145">
        <f t="shared" ref="T203:U203" si="133">IF(T$20, $H147, $H144)</f>
        <v>0.12091051771447155</v>
      </c>
      <c r="U203" s="145">
        <f t="shared" si="133"/>
        <v>0.12091051771447155</v>
      </c>
      <c r="V203" s="145">
        <f t="shared" ref="V203:W203" si="134">IF(V$20, $H147, $H144)</f>
        <v>0.12091051771447155</v>
      </c>
      <c r="W203" s="145">
        <f t="shared" si="134"/>
        <v>0.12091051771447155</v>
      </c>
      <c r="X203" s="145">
        <f t="shared" ref="X203:Y203" si="135">IF(X$20, $H147, $H144)</f>
        <v>0.12091051771447155</v>
      </c>
      <c r="Y203" s="145">
        <f t="shared" si="135"/>
        <v>0.12091051771447155</v>
      </c>
    </row>
    <row r="204" spans="5:25" x14ac:dyDescent="0.3">
      <c r="E204" s="29"/>
      <c r="F204" s="80" t="s">
        <v>257</v>
      </c>
      <c r="G204" s="67" t="s">
        <v>167</v>
      </c>
      <c r="H204" s="141"/>
      <c r="I204" s="37"/>
      <c r="J204" s="155">
        <f t="shared" ref="J204:K204" si="136">IF(J$20, $H148, $H145)</f>
        <v>1.6939133653259563E-2</v>
      </c>
      <c r="K204" s="155">
        <f t="shared" si="136"/>
        <v>1.6939133653259563E-2</v>
      </c>
      <c r="L204" s="155">
        <f t="shared" ref="L204:M204" si="137">IF(L$20, $H148, $H145)</f>
        <v>1.6939133653259563E-2</v>
      </c>
      <c r="M204" s="155">
        <f t="shared" si="137"/>
        <v>1.6939133653259563E-2</v>
      </c>
      <c r="N204" s="155">
        <f t="shared" ref="N204:P204" si="138">IF(N$20, $H148, $H145)</f>
        <v>1.6939133653259563E-2</v>
      </c>
      <c r="O204" s="155">
        <f t="shared" si="138"/>
        <v>1.6939133653259563E-2</v>
      </c>
      <c r="P204" s="155">
        <f t="shared" si="138"/>
        <v>1.6939133653259563E-2</v>
      </c>
      <c r="Q204" s="155">
        <f t="shared" ref="Q204:S204" si="139">IF(Q$20, $H148, $H145)</f>
        <v>1.6939133653259563E-2</v>
      </c>
      <c r="R204" s="155">
        <f t="shared" si="139"/>
        <v>1.6939133653259563E-2</v>
      </c>
      <c r="S204" s="155">
        <f t="shared" si="139"/>
        <v>1.6939133653259563E-2</v>
      </c>
      <c r="T204" s="155">
        <f t="shared" ref="T204:U204" si="140">IF(T$20, $H148, $H145)</f>
        <v>1.6939133653259563E-2</v>
      </c>
      <c r="U204" s="155">
        <f t="shared" si="140"/>
        <v>1.6939133653259563E-2</v>
      </c>
      <c r="V204" s="155">
        <f t="shared" ref="V204:W204" si="141">IF(V$20, $H148, $H145)</f>
        <v>1.6939133653259563E-2</v>
      </c>
      <c r="W204" s="155">
        <f t="shared" si="141"/>
        <v>1.6939133653259563E-2</v>
      </c>
      <c r="X204" s="155">
        <f t="shared" ref="X204:Y204" si="142">IF(X$20, $H148, $H145)</f>
        <v>1.6939133653259563E-2</v>
      </c>
      <c r="Y204" s="155">
        <f t="shared" si="142"/>
        <v>1.6939133653259563E-2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0.61577106197342923</v>
      </c>
      <c r="K207" s="154">
        <f t="shared" si="143"/>
        <v>0.61577106197342923</v>
      </c>
      <c r="L207" s="154">
        <f t="shared" ref="L207:M207" si="144">IF(L$20, $H154, $H151)</f>
        <v>0.61577106197342923</v>
      </c>
      <c r="M207" s="154">
        <f t="shared" si="144"/>
        <v>0.61577106197342923</v>
      </c>
      <c r="N207" s="154">
        <f t="shared" ref="N207:P207" si="145">IF(N$20, $H154, $H151)</f>
        <v>0.61577106197342923</v>
      </c>
      <c r="O207" s="154">
        <f t="shared" si="145"/>
        <v>0.61577106197342923</v>
      </c>
      <c r="P207" s="154">
        <f t="shared" si="145"/>
        <v>0.61577106197342923</v>
      </c>
      <c r="Q207" s="154">
        <f t="shared" ref="Q207:S207" si="146">IF(Q$20, $H154, $H151)</f>
        <v>0.47038069742442074</v>
      </c>
      <c r="R207" s="154">
        <f t="shared" si="146"/>
        <v>0.61577106197342923</v>
      </c>
      <c r="S207" s="154">
        <f t="shared" si="146"/>
        <v>0.61577106197342923</v>
      </c>
      <c r="T207" s="154">
        <f t="shared" ref="T207:U207" si="147">IF(T$20, $H154, $H151)</f>
        <v>0.61577106197342923</v>
      </c>
      <c r="U207" s="154">
        <f t="shared" si="147"/>
        <v>0.61577106197342923</v>
      </c>
      <c r="V207" s="154">
        <f t="shared" ref="V207:W207" si="148">IF(V$20, $H154, $H151)</f>
        <v>0.61577106197342923</v>
      </c>
      <c r="W207" s="154">
        <f t="shared" si="148"/>
        <v>0.61577106197342923</v>
      </c>
      <c r="X207" s="154">
        <f t="shared" ref="X207:Y207" si="149">IF(X$20, $H154, $H151)</f>
        <v>0.61577106197342923</v>
      </c>
      <c r="Y207" s="154">
        <f t="shared" si="149"/>
        <v>0.61577106197342923</v>
      </c>
    </row>
    <row r="208" spans="5:25" x14ac:dyDescent="0.3">
      <c r="E208" s="29"/>
      <c r="F208" s="72" t="s">
        <v>466</v>
      </c>
      <c r="G208" s="28" t="s">
        <v>167</v>
      </c>
      <c r="H208" s="25"/>
      <c r="J208" s="145">
        <f t="shared" ref="J208:K208" si="150">IF(J$20, $H155, $H152)</f>
        <v>0.33829193174578481</v>
      </c>
      <c r="K208" s="145">
        <f t="shared" si="150"/>
        <v>0.33829193174578481</v>
      </c>
      <c r="L208" s="145">
        <f t="shared" ref="L208:M208" si="151">IF(L$20, $H155, $H152)</f>
        <v>0.33829193174578481</v>
      </c>
      <c r="M208" s="145">
        <f t="shared" si="151"/>
        <v>0.33829193174578481</v>
      </c>
      <c r="N208" s="145">
        <f t="shared" ref="N208:P208" si="152">IF(N$20, $H155, $H152)</f>
        <v>0.33829193174578481</v>
      </c>
      <c r="O208" s="145">
        <f t="shared" si="152"/>
        <v>0.33829193174578481</v>
      </c>
      <c r="P208" s="145">
        <f t="shared" si="152"/>
        <v>0.33829193174578481</v>
      </c>
      <c r="Q208" s="145">
        <f t="shared" ref="Q208:S208" si="153">IF(Q$20, $H155, $H152)</f>
        <v>0.48368229629479326</v>
      </c>
      <c r="R208" s="145">
        <f t="shared" si="153"/>
        <v>0.33829193174578481</v>
      </c>
      <c r="S208" s="145">
        <f t="shared" si="153"/>
        <v>0.33829193174578481</v>
      </c>
      <c r="T208" s="145">
        <f t="shared" ref="T208:U208" si="154">IF(T$20, $H155, $H152)</f>
        <v>0.33829193174578481</v>
      </c>
      <c r="U208" s="145">
        <f t="shared" si="154"/>
        <v>0.33829193174578481</v>
      </c>
      <c r="V208" s="145">
        <f t="shared" ref="V208:W208" si="155">IF(V$20, $H155, $H152)</f>
        <v>0.33829193174578481</v>
      </c>
      <c r="W208" s="145">
        <f t="shared" si="155"/>
        <v>0.33829193174578481</v>
      </c>
      <c r="X208" s="145">
        <f t="shared" ref="X208:Y208" si="156">IF(X$20, $H155, $H152)</f>
        <v>0.33829193174578481</v>
      </c>
      <c r="Y208" s="145">
        <f t="shared" si="156"/>
        <v>0.33829193174578481</v>
      </c>
    </row>
    <row r="209" spans="3:27" x14ac:dyDescent="0.3">
      <c r="E209" s="29"/>
      <c r="F209" s="80" t="s">
        <v>257</v>
      </c>
      <c r="G209" s="67" t="s">
        <v>167</v>
      </c>
      <c r="H209" s="141"/>
      <c r="I209" s="37"/>
      <c r="J209" s="155">
        <f t="shared" ref="J209:K209" si="157">IF(J$20, $H156, $H153)</f>
        <v>4.5937006280785918E-2</v>
      </c>
      <c r="K209" s="155">
        <f t="shared" si="157"/>
        <v>4.5937006280785918E-2</v>
      </c>
      <c r="L209" s="155">
        <f t="shared" ref="L209:M209" si="158">IF(L$20, $H156, $H153)</f>
        <v>4.5937006280785918E-2</v>
      </c>
      <c r="M209" s="155">
        <f t="shared" si="158"/>
        <v>4.5937006280785918E-2</v>
      </c>
      <c r="N209" s="155">
        <f t="shared" ref="N209:P209" si="159">IF(N$20, $H156, $H153)</f>
        <v>4.5937006280785918E-2</v>
      </c>
      <c r="O209" s="155">
        <f t="shared" si="159"/>
        <v>4.5937006280785918E-2</v>
      </c>
      <c r="P209" s="155">
        <f t="shared" si="159"/>
        <v>4.5937006280785918E-2</v>
      </c>
      <c r="Q209" s="155">
        <f t="shared" ref="Q209:S209" si="160">IF(Q$20, $H156, $H153)</f>
        <v>4.5937006280785918E-2</v>
      </c>
      <c r="R209" s="155">
        <f t="shared" si="160"/>
        <v>4.5937006280785918E-2</v>
      </c>
      <c r="S209" s="155">
        <f t="shared" si="160"/>
        <v>4.5937006280785918E-2</v>
      </c>
      <c r="T209" s="155">
        <f t="shared" ref="T209:U209" si="161">IF(T$20, $H156, $H153)</f>
        <v>4.5937006280785918E-2</v>
      </c>
      <c r="U209" s="155">
        <f t="shared" si="161"/>
        <v>4.5937006280785918E-2</v>
      </c>
      <c r="V209" s="155">
        <f t="shared" ref="V209:W209" si="162">IF(V$20, $H156, $H153)</f>
        <v>4.5937006280785918E-2</v>
      </c>
      <c r="W209" s="155">
        <f t="shared" si="162"/>
        <v>4.5937006280785918E-2</v>
      </c>
      <c r="X209" s="155">
        <f t="shared" ref="X209:Y209" si="163">IF(X$20, $H156, $H153)</f>
        <v>4.5937006280785918E-2</v>
      </c>
      <c r="Y209" s="155">
        <f t="shared" si="163"/>
        <v>4.5937006280785918E-2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0.61577106197342923</v>
      </c>
      <c r="K212" s="154">
        <f t="shared" si="164"/>
        <v>0.61577106197342923</v>
      </c>
      <c r="L212" s="154">
        <f t="shared" ref="L212:M212" si="165">IF(L$20, $H162, $H159)</f>
        <v>0.61577106197342923</v>
      </c>
      <c r="M212" s="154">
        <f t="shared" si="165"/>
        <v>0.61577106197342923</v>
      </c>
      <c r="N212" s="154">
        <f t="shared" ref="N212:P212" si="166">IF(N$20, $H162, $H159)</f>
        <v>0.61577106197342923</v>
      </c>
      <c r="O212" s="154">
        <f t="shared" si="166"/>
        <v>0.61577106197342923</v>
      </c>
      <c r="P212" s="154">
        <f t="shared" si="166"/>
        <v>0.61577106197342923</v>
      </c>
      <c r="Q212" s="154">
        <f t="shared" ref="Q212:S212" si="167">IF(Q$20, $H162, $H159)</f>
        <v>0.47038069742442074</v>
      </c>
      <c r="R212" s="154">
        <f t="shared" si="167"/>
        <v>0.61577106197342923</v>
      </c>
      <c r="S212" s="154">
        <f t="shared" si="167"/>
        <v>0.61577106197342923</v>
      </c>
      <c r="T212" s="154">
        <f t="shared" ref="T212:U212" si="168">IF(T$20, $H162, $H159)</f>
        <v>0.61577106197342923</v>
      </c>
      <c r="U212" s="154">
        <f t="shared" si="168"/>
        <v>0.61577106197342923</v>
      </c>
      <c r="V212" s="154">
        <f t="shared" ref="V212:W212" si="169">IF(V$20, $H162, $H159)</f>
        <v>0.61577106197342923</v>
      </c>
      <c r="W212" s="154">
        <f t="shared" si="169"/>
        <v>0.61577106197342923</v>
      </c>
      <c r="X212" s="154">
        <f t="shared" ref="X212:Y212" si="170">IF(X$20, $H162, $H159)</f>
        <v>0.61577106197342923</v>
      </c>
      <c r="Y212" s="154">
        <f t="shared" si="170"/>
        <v>0.61577106197342923</v>
      </c>
    </row>
    <row r="213" spans="3:27" x14ac:dyDescent="0.3">
      <c r="E213" s="29"/>
      <c r="F213" s="72" t="s">
        <v>466</v>
      </c>
      <c r="G213" s="28" t="s">
        <v>167</v>
      </c>
      <c r="H213" s="25"/>
      <c r="J213" s="145">
        <f t="shared" ref="J213:K213" si="171">IF(J$20, $H163, $H160)</f>
        <v>0.33829193174578481</v>
      </c>
      <c r="K213" s="145">
        <f t="shared" si="171"/>
        <v>0.33829193174578481</v>
      </c>
      <c r="L213" s="145">
        <f t="shared" ref="L213:M213" si="172">IF(L$20, $H163, $H160)</f>
        <v>0.33829193174578481</v>
      </c>
      <c r="M213" s="145">
        <f t="shared" si="172"/>
        <v>0.33829193174578481</v>
      </c>
      <c r="N213" s="145">
        <f t="shared" ref="N213:P213" si="173">IF(N$20, $H163, $H160)</f>
        <v>0.33829193174578481</v>
      </c>
      <c r="O213" s="145">
        <f t="shared" si="173"/>
        <v>0.33829193174578481</v>
      </c>
      <c r="P213" s="145">
        <f t="shared" si="173"/>
        <v>0.33829193174578481</v>
      </c>
      <c r="Q213" s="145">
        <f t="shared" ref="Q213:S213" si="174">IF(Q$20, $H163, $H160)</f>
        <v>0.48368229629479326</v>
      </c>
      <c r="R213" s="145">
        <f t="shared" si="174"/>
        <v>0.33829193174578481</v>
      </c>
      <c r="S213" s="145">
        <f t="shared" si="174"/>
        <v>0.33829193174578481</v>
      </c>
      <c r="T213" s="145">
        <f t="shared" ref="T213:U213" si="175">IF(T$20, $H163, $H160)</f>
        <v>0.33829193174578481</v>
      </c>
      <c r="U213" s="145">
        <f t="shared" si="175"/>
        <v>0.33829193174578481</v>
      </c>
      <c r="V213" s="145">
        <f t="shared" ref="V213:W213" si="176">IF(V$20, $H163, $H160)</f>
        <v>0.33829193174578481</v>
      </c>
      <c r="W213" s="145">
        <f t="shared" si="176"/>
        <v>0.33829193174578481</v>
      </c>
      <c r="X213" s="145">
        <f t="shared" ref="X213:Y213" si="177">IF(X$20, $H163, $H160)</f>
        <v>0.33829193174578481</v>
      </c>
      <c r="Y213" s="145">
        <f t="shared" si="177"/>
        <v>0.33829193174578481</v>
      </c>
    </row>
    <row r="214" spans="3:27" x14ac:dyDescent="0.3">
      <c r="E214" s="29"/>
      <c r="F214" s="80" t="s">
        <v>257</v>
      </c>
      <c r="G214" s="67" t="s">
        <v>167</v>
      </c>
      <c r="H214" s="141"/>
      <c r="I214" s="37"/>
      <c r="J214" s="155">
        <f t="shared" ref="J214:K214" si="178">IF(J$20, $H164, $H161)</f>
        <v>4.5937006280785918E-2</v>
      </c>
      <c r="K214" s="155">
        <f t="shared" si="178"/>
        <v>4.5937006280785918E-2</v>
      </c>
      <c r="L214" s="155">
        <f t="shared" ref="L214:M214" si="179">IF(L$20, $H164, $H161)</f>
        <v>4.5937006280785918E-2</v>
      </c>
      <c r="M214" s="155">
        <f t="shared" si="179"/>
        <v>4.5937006280785918E-2</v>
      </c>
      <c r="N214" s="155">
        <f t="shared" ref="N214:P214" si="180">IF(N$20, $H164, $H161)</f>
        <v>4.5937006280785918E-2</v>
      </c>
      <c r="O214" s="155">
        <f t="shared" si="180"/>
        <v>4.5937006280785918E-2</v>
      </c>
      <c r="P214" s="155">
        <f t="shared" si="180"/>
        <v>4.5937006280785918E-2</v>
      </c>
      <c r="Q214" s="155">
        <f t="shared" ref="Q214:S214" si="181">IF(Q$20, $H164, $H161)</f>
        <v>4.5937006280785918E-2</v>
      </c>
      <c r="R214" s="155">
        <f t="shared" si="181"/>
        <v>4.5937006280785918E-2</v>
      </c>
      <c r="S214" s="155">
        <f t="shared" si="181"/>
        <v>4.5937006280785918E-2</v>
      </c>
      <c r="T214" s="155">
        <f t="shared" ref="T214:U214" si="182">IF(T$20, $H164, $H161)</f>
        <v>4.5937006280785918E-2</v>
      </c>
      <c r="U214" s="155">
        <f t="shared" si="182"/>
        <v>4.5937006280785918E-2</v>
      </c>
      <c r="V214" s="155">
        <f t="shared" ref="V214:W214" si="183">IF(V$20, $H164, $H161)</f>
        <v>4.5937006280785918E-2</v>
      </c>
      <c r="W214" s="155">
        <f t="shared" si="183"/>
        <v>4.5937006280785918E-2</v>
      </c>
      <c r="X214" s="155">
        <f t="shared" ref="X214:Y214" si="184">IF(X$20, $H164, $H161)</f>
        <v>4.5937006280785918E-2</v>
      </c>
      <c r="Y214" s="155">
        <f t="shared" si="184"/>
        <v>4.5937006280785918E-2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0.61577106197342923</v>
      </c>
      <c r="K217" s="154">
        <f t="shared" si="185"/>
        <v>0.61577106197342923</v>
      </c>
      <c r="L217" s="154">
        <f t="shared" ref="L217:M217" si="186">IF(L$20, $H170, $H167)</f>
        <v>0.61577106197342923</v>
      </c>
      <c r="M217" s="154">
        <f t="shared" si="186"/>
        <v>0.61577106197342923</v>
      </c>
      <c r="N217" s="154">
        <f t="shared" ref="N217:P217" si="187">IF(N$20, $H170, $H167)</f>
        <v>0.61577106197342923</v>
      </c>
      <c r="O217" s="154">
        <f t="shared" si="187"/>
        <v>0.61577106197342923</v>
      </c>
      <c r="P217" s="154">
        <f t="shared" si="187"/>
        <v>0.61577106197342923</v>
      </c>
      <c r="Q217" s="154">
        <f t="shared" ref="Q217:S217" si="188">IF(Q$20, $H170, $H167)</f>
        <v>0.47038069742442074</v>
      </c>
      <c r="R217" s="154">
        <f t="shared" si="188"/>
        <v>0.61577106197342923</v>
      </c>
      <c r="S217" s="154">
        <f t="shared" si="188"/>
        <v>0.61577106197342923</v>
      </c>
      <c r="T217" s="154">
        <f t="shared" ref="T217:U217" si="189">IF(T$20, $H170, $H167)</f>
        <v>0.61577106197342923</v>
      </c>
      <c r="U217" s="154">
        <f t="shared" si="189"/>
        <v>0.61577106197342923</v>
      </c>
      <c r="V217" s="154">
        <f t="shared" ref="V217:W217" si="190">IF(V$20, $H170, $H167)</f>
        <v>0.61577106197342923</v>
      </c>
      <c r="W217" s="154">
        <f t="shared" si="190"/>
        <v>0.61577106197342923</v>
      </c>
      <c r="X217" s="154">
        <f t="shared" ref="X217:Y217" si="191">IF(X$20, $H170, $H167)</f>
        <v>0.61577106197342923</v>
      </c>
      <c r="Y217" s="154">
        <f t="shared" si="191"/>
        <v>0.61577106197342923</v>
      </c>
    </row>
    <row r="218" spans="3:27" x14ac:dyDescent="0.3">
      <c r="E218" s="29"/>
      <c r="F218" s="72" t="s">
        <v>466</v>
      </c>
      <c r="G218" s="28" t="s">
        <v>167</v>
      </c>
      <c r="H218" s="25"/>
      <c r="J218" s="145">
        <f t="shared" ref="J218:K218" si="192">IF(J$20, $H171, $H168)</f>
        <v>0.33829193174578481</v>
      </c>
      <c r="K218" s="145">
        <f t="shared" si="192"/>
        <v>0.33829193174578481</v>
      </c>
      <c r="L218" s="145">
        <f t="shared" ref="L218:M218" si="193">IF(L$20, $H171, $H168)</f>
        <v>0.33829193174578481</v>
      </c>
      <c r="M218" s="145">
        <f t="shared" si="193"/>
        <v>0.33829193174578481</v>
      </c>
      <c r="N218" s="145">
        <f t="shared" ref="N218:P218" si="194">IF(N$20, $H171, $H168)</f>
        <v>0.33829193174578481</v>
      </c>
      <c r="O218" s="145">
        <f t="shared" si="194"/>
        <v>0.33829193174578481</v>
      </c>
      <c r="P218" s="145">
        <f t="shared" si="194"/>
        <v>0.33829193174578481</v>
      </c>
      <c r="Q218" s="145">
        <f t="shared" ref="Q218:S218" si="195">IF(Q$20, $H171, $H168)</f>
        <v>0.48368229629479326</v>
      </c>
      <c r="R218" s="145">
        <f t="shared" si="195"/>
        <v>0.33829193174578481</v>
      </c>
      <c r="S218" s="145">
        <f t="shared" si="195"/>
        <v>0.33829193174578481</v>
      </c>
      <c r="T218" s="145">
        <f t="shared" ref="T218:U218" si="196">IF(T$20, $H171, $H168)</f>
        <v>0.33829193174578481</v>
      </c>
      <c r="U218" s="145">
        <f t="shared" si="196"/>
        <v>0.33829193174578481</v>
      </c>
      <c r="V218" s="145">
        <f t="shared" ref="V218:W218" si="197">IF(V$20, $H171, $H168)</f>
        <v>0.33829193174578481</v>
      </c>
      <c r="W218" s="145">
        <f t="shared" si="197"/>
        <v>0.33829193174578481</v>
      </c>
      <c r="X218" s="145">
        <f t="shared" ref="X218:Y218" si="198">IF(X$20, $H171, $H168)</f>
        <v>0.33829193174578481</v>
      </c>
      <c r="Y218" s="145">
        <f t="shared" si="198"/>
        <v>0.33829193174578481</v>
      </c>
    </row>
    <row r="219" spans="3:27" x14ac:dyDescent="0.3">
      <c r="E219" s="29"/>
      <c r="F219" s="80" t="s">
        <v>257</v>
      </c>
      <c r="G219" s="67" t="s">
        <v>167</v>
      </c>
      <c r="H219" s="141"/>
      <c r="I219" s="37"/>
      <c r="J219" s="155">
        <f t="shared" ref="J219:K219" si="199">IF(J$20, $H172, $H169)</f>
        <v>4.5937006280785918E-2</v>
      </c>
      <c r="K219" s="155">
        <f t="shared" si="199"/>
        <v>4.5937006280785918E-2</v>
      </c>
      <c r="L219" s="155">
        <f t="shared" ref="L219:M219" si="200">IF(L$20, $H172, $H169)</f>
        <v>4.5937006280785918E-2</v>
      </c>
      <c r="M219" s="155">
        <f t="shared" si="200"/>
        <v>4.5937006280785918E-2</v>
      </c>
      <c r="N219" s="155">
        <f t="shared" ref="N219:P219" si="201">IF(N$20, $H172, $H169)</f>
        <v>4.5937006280785918E-2</v>
      </c>
      <c r="O219" s="155">
        <f t="shared" si="201"/>
        <v>4.5937006280785918E-2</v>
      </c>
      <c r="P219" s="155">
        <f t="shared" si="201"/>
        <v>4.5937006280785918E-2</v>
      </c>
      <c r="Q219" s="155">
        <f t="shared" ref="Q219:S219" si="202">IF(Q$20, $H172, $H169)</f>
        <v>4.5937006280785918E-2</v>
      </c>
      <c r="R219" s="155">
        <f t="shared" si="202"/>
        <v>4.5937006280785918E-2</v>
      </c>
      <c r="S219" s="155">
        <f t="shared" si="202"/>
        <v>4.5937006280785918E-2</v>
      </c>
      <c r="T219" s="155">
        <f t="shared" ref="T219:U219" si="203">IF(T$20, $H172, $H169)</f>
        <v>4.5937006280785918E-2</v>
      </c>
      <c r="U219" s="155">
        <f t="shared" si="203"/>
        <v>4.5937006280785918E-2</v>
      </c>
      <c r="V219" s="155">
        <f t="shared" ref="V219:W219" si="204">IF(V$20, $H172, $H169)</f>
        <v>4.5937006280785918E-2</v>
      </c>
      <c r="W219" s="155">
        <f t="shared" si="204"/>
        <v>4.5937006280785918E-2</v>
      </c>
      <c r="X219" s="155">
        <f t="shared" ref="X219:Y219" si="205">IF(X$20, $H172, $H169)</f>
        <v>4.5937006280785918E-2</v>
      </c>
      <c r="Y219" s="155">
        <f t="shared" si="205"/>
        <v>4.5937006280785918E-2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1.9157088122605363E-3</v>
      </c>
      <c r="K224" s="158">
        <f t="shared" si="206"/>
        <v>1.9157088122605363E-3</v>
      </c>
      <c r="L224" s="158">
        <f t="shared" si="206"/>
        <v>1.9157088122605363E-3</v>
      </c>
      <c r="M224" s="158">
        <f t="shared" si="206"/>
        <v>1.9157088122605363E-3</v>
      </c>
      <c r="N224" s="158">
        <f t="shared" si="206"/>
        <v>1.9157088122605363E-3</v>
      </c>
      <c r="O224" s="158">
        <f t="shared" si="206"/>
        <v>1.9157088122605363E-3</v>
      </c>
      <c r="P224" s="158">
        <f t="shared" si="206"/>
        <v>1.9157088122605363E-3</v>
      </c>
      <c r="Q224" s="158">
        <f t="shared" si="206"/>
        <v>6.5789473684210523E-3</v>
      </c>
      <c r="R224" s="158">
        <f t="shared" si="206"/>
        <v>1.9157088122605363E-3</v>
      </c>
      <c r="S224" s="158">
        <f t="shared" si="206"/>
        <v>1.9157088122605363E-3</v>
      </c>
      <c r="T224" s="158">
        <f t="shared" si="206"/>
        <v>1.9157088122605363E-3</v>
      </c>
      <c r="U224" s="158">
        <f t="shared" si="206"/>
        <v>1.9157088122605363E-3</v>
      </c>
      <c r="V224" s="158">
        <f t="shared" si="206"/>
        <v>1.9157088122605363E-3</v>
      </c>
      <c r="W224" s="158">
        <f t="shared" si="206"/>
        <v>1.9157088122605363E-3</v>
      </c>
      <c r="X224" s="158">
        <f t="shared" si="206"/>
        <v>1.9157088122605363E-3</v>
      </c>
      <c r="Y224" s="158">
        <f t="shared" si="206"/>
        <v>1.9157088122605363E-3</v>
      </c>
    </row>
    <row r="225" spans="5:25" x14ac:dyDescent="0.3">
      <c r="F225" s="28" t="s">
        <v>466</v>
      </c>
      <c r="G225" s="28" t="s">
        <v>489</v>
      </c>
      <c r="J225" s="89">
        <f t="shared" ref="J225:Y225" si="207">1 / J25</f>
        <v>2.9036004645760743E-4</v>
      </c>
      <c r="K225" s="89">
        <f t="shared" si="207"/>
        <v>2.9036004645760743E-4</v>
      </c>
      <c r="L225" s="89">
        <f t="shared" si="207"/>
        <v>2.9036004645760743E-4</v>
      </c>
      <c r="M225" s="89">
        <f t="shared" si="207"/>
        <v>2.9036004645760743E-4</v>
      </c>
      <c r="N225" s="89">
        <f t="shared" si="207"/>
        <v>2.9036004645760743E-4</v>
      </c>
      <c r="O225" s="89">
        <f t="shared" si="207"/>
        <v>2.9036004645760743E-4</v>
      </c>
      <c r="P225" s="89">
        <f t="shared" si="207"/>
        <v>2.9036004645760743E-4</v>
      </c>
      <c r="Q225" s="89">
        <f t="shared" si="207"/>
        <v>2.6219192448872575E-4</v>
      </c>
      <c r="R225" s="89">
        <f t="shared" si="207"/>
        <v>2.9036004645760743E-4</v>
      </c>
      <c r="S225" s="89">
        <f t="shared" si="207"/>
        <v>2.9036004645760743E-4</v>
      </c>
      <c r="T225" s="89">
        <f t="shared" si="207"/>
        <v>2.9036004645760743E-4</v>
      </c>
      <c r="U225" s="89">
        <f t="shared" si="207"/>
        <v>2.9036004645760743E-4</v>
      </c>
      <c r="V225" s="89">
        <f t="shared" si="207"/>
        <v>2.9036004645760743E-4</v>
      </c>
      <c r="W225" s="89">
        <f t="shared" si="207"/>
        <v>2.9036004645760743E-4</v>
      </c>
      <c r="X225" s="89">
        <f t="shared" si="207"/>
        <v>2.9036004645760743E-4</v>
      </c>
      <c r="Y225" s="89">
        <f t="shared" si="207"/>
        <v>2.9036004645760743E-4</v>
      </c>
    </row>
    <row r="226" spans="5:25" x14ac:dyDescent="0.3">
      <c r="F226" s="67" t="s">
        <v>257</v>
      </c>
      <c r="G226" s="67" t="s">
        <v>489</v>
      </c>
      <c r="H226" s="37"/>
      <c r="I226" s="37"/>
      <c r="J226" s="82">
        <f t="shared" ref="J226:Y226" si="208">1 / J26</f>
        <v>2.0859407592824363E-4</v>
      </c>
      <c r="K226" s="82">
        <f t="shared" si="208"/>
        <v>2.0859407592824363E-4</v>
      </c>
      <c r="L226" s="82">
        <f t="shared" si="208"/>
        <v>2.0859407592824363E-4</v>
      </c>
      <c r="M226" s="82">
        <f t="shared" si="208"/>
        <v>2.0859407592824363E-4</v>
      </c>
      <c r="N226" s="82">
        <f t="shared" si="208"/>
        <v>2.0859407592824363E-4</v>
      </c>
      <c r="O226" s="82">
        <f t="shared" si="208"/>
        <v>2.0859407592824363E-4</v>
      </c>
      <c r="P226" s="82">
        <f t="shared" si="208"/>
        <v>2.0859407592824363E-4</v>
      </c>
      <c r="Q226" s="82">
        <f t="shared" si="208"/>
        <v>2.0859407592824363E-4</v>
      </c>
      <c r="R226" s="82">
        <f t="shared" si="208"/>
        <v>2.0859407592824363E-4</v>
      </c>
      <c r="S226" s="82">
        <f t="shared" si="208"/>
        <v>2.0859407592824363E-4</v>
      </c>
      <c r="T226" s="82">
        <f t="shared" si="208"/>
        <v>2.0859407592824363E-4</v>
      </c>
      <c r="U226" s="82">
        <f t="shared" si="208"/>
        <v>2.0859407592824363E-4</v>
      </c>
      <c r="V226" s="82">
        <f t="shared" si="208"/>
        <v>2.0859407592824363E-4</v>
      </c>
      <c r="W226" s="82">
        <f t="shared" si="208"/>
        <v>2.0859407592824363E-4</v>
      </c>
      <c r="X226" s="82">
        <f t="shared" si="208"/>
        <v>2.0859407592824363E-4</v>
      </c>
      <c r="Y226" s="82">
        <f t="shared" si="208"/>
        <v>2.0859407592824363E-4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14.594705185804997</v>
      </c>
      <c r="K229" s="153">
        <f t="shared" ref="K229:Y229" si="209">K177 * K$224 * hours_in_year</f>
        <v>14.594705185804997</v>
      </c>
      <c r="L229" s="153">
        <f t="shared" si="209"/>
        <v>14.594705185804997</v>
      </c>
      <c r="M229" s="153">
        <f t="shared" si="209"/>
        <v>14.594705185804997</v>
      </c>
      <c r="N229" s="153">
        <f t="shared" si="209"/>
        <v>14.594705185804997</v>
      </c>
      <c r="O229" s="153">
        <f t="shared" si="209"/>
        <v>14.594705185804997</v>
      </c>
      <c r="P229" s="153">
        <f t="shared" si="209"/>
        <v>14.594705185804997</v>
      </c>
      <c r="Q229" s="153">
        <f t="shared" si="209"/>
        <v>37.215793373361954</v>
      </c>
      <c r="R229" s="153">
        <f t="shared" si="209"/>
        <v>14.594705185804997</v>
      </c>
      <c r="S229" s="153">
        <f t="shared" si="209"/>
        <v>14.594705185804997</v>
      </c>
      <c r="T229" s="153">
        <f t="shared" si="209"/>
        <v>14.594705185804997</v>
      </c>
      <c r="U229" s="153">
        <f t="shared" si="209"/>
        <v>14.594705185804997</v>
      </c>
      <c r="V229" s="153">
        <f t="shared" si="209"/>
        <v>14.594705185804997</v>
      </c>
      <c r="W229" s="153">
        <f t="shared" si="209"/>
        <v>14.594705185804997</v>
      </c>
      <c r="X229" s="153">
        <f t="shared" si="209"/>
        <v>14.594705185804997</v>
      </c>
      <c r="Y229" s="153">
        <f t="shared" si="209"/>
        <v>14.594705185804997</v>
      </c>
    </row>
    <row r="230" spans="5:25" x14ac:dyDescent="0.3">
      <c r="F230" s="160" t="s">
        <v>192</v>
      </c>
      <c r="G230" s="28" t="s">
        <v>283</v>
      </c>
      <c r="J230" s="153">
        <f t="shared" ref="J230:Y230" si="210">J182 * J224 * hours_in_year</f>
        <v>14.46827021842658</v>
      </c>
      <c r="K230" s="153">
        <f t="shared" si="210"/>
        <v>14.46827021842658</v>
      </c>
      <c r="L230" s="153">
        <f t="shared" si="210"/>
        <v>14.46827021842658</v>
      </c>
      <c r="M230" s="153">
        <f t="shared" si="210"/>
        <v>14.46827021842658</v>
      </c>
      <c r="N230" s="153">
        <f t="shared" si="210"/>
        <v>14.46827021842658</v>
      </c>
      <c r="O230" s="153">
        <f t="shared" si="210"/>
        <v>14.46827021842658</v>
      </c>
      <c r="P230" s="153">
        <f t="shared" si="210"/>
        <v>14.46827021842658</v>
      </c>
      <c r="Q230" s="153">
        <f t="shared" si="210"/>
        <v>43.618693839042187</v>
      </c>
      <c r="R230" s="153">
        <f t="shared" si="210"/>
        <v>14.46827021842658</v>
      </c>
      <c r="S230" s="153">
        <f t="shared" si="210"/>
        <v>14.46827021842658</v>
      </c>
      <c r="T230" s="153">
        <f t="shared" si="210"/>
        <v>14.46827021842658</v>
      </c>
      <c r="U230" s="153">
        <f t="shared" si="210"/>
        <v>14.46827021842658</v>
      </c>
      <c r="V230" s="153">
        <f t="shared" si="210"/>
        <v>14.46827021842658</v>
      </c>
      <c r="W230" s="153">
        <f t="shared" si="210"/>
        <v>14.46827021842658</v>
      </c>
      <c r="X230" s="153">
        <f t="shared" si="210"/>
        <v>14.46827021842658</v>
      </c>
      <c r="Y230" s="153">
        <f t="shared" si="210"/>
        <v>14.46827021842658</v>
      </c>
    </row>
    <row r="231" spans="5:25" x14ac:dyDescent="0.3">
      <c r="F231" s="160" t="s">
        <v>193</v>
      </c>
      <c r="G231" s="28" t="s">
        <v>283</v>
      </c>
      <c r="J231" s="153">
        <f t="shared" ref="J231:Y231" si="211">J187 * J224 * hours_in_year</f>
        <v>14.46827021842658</v>
      </c>
      <c r="K231" s="153">
        <f t="shared" si="211"/>
        <v>14.46827021842658</v>
      </c>
      <c r="L231" s="153">
        <f t="shared" si="211"/>
        <v>14.46827021842658</v>
      </c>
      <c r="M231" s="153">
        <f t="shared" si="211"/>
        <v>14.46827021842658</v>
      </c>
      <c r="N231" s="153">
        <f t="shared" si="211"/>
        <v>14.46827021842658</v>
      </c>
      <c r="O231" s="153">
        <f t="shared" si="211"/>
        <v>14.46827021842658</v>
      </c>
      <c r="P231" s="153">
        <f t="shared" si="211"/>
        <v>14.46827021842658</v>
      </c>
      <c r="Q231" s="153">
        <f t="shared" si="211"/>
        <v>43.618693839042187</v>
      </c>
      <c r="R231" s="153">
        <f t="shared" si="211"/>
        <v>14.46827021842658</v>
      </c>
      <c r="S231" s="153">
        <f t="shared" si="211"/>
        <v>14.46827021842658</v>
      </c>
      <c r="T231" s="153">
        <f t="shared" si="211"/>
        <v>14.46827021842658</v>
      </c>
      <c r="U231" s="153">
        <f t="shared" si="211"/>
        <v>14.46827021842658</v>
      </c>
      <c r="V231" s="153">
        <f t="shared" si="211"/>
        <v>14.46827021842658</v>
      </c>
      <c r="W231" s="153">
        <f t="shared" si="211"/>
        <v>14.46827021842658</v>
      </c>
      <c r="X231" s="153">
        <f t="shared" si="211"/>
        <v>14.46827021842658</v>
      </c>
      <c r="Y231" s="153">
        <f t="shared" si="211"/>
        <v>14.46827021842658</v>
      </c>
    </row>
    <row r="232" spans="5:25" x14ac:dyDescent="0.3">
      <c r="F232" s="160" t="s">
        <v>194</v>
      </c>
      <c r="G232" s="28" t="s">
        <v>283</v>
      </c>
      <c r="J232" s="153">
        <f t="shared" ref="J232:Y232" si="212">J192 * J224 * hours_in_year</f>
        <v>10.333629315875939</v>
      </c>
      <c r="K232" s="153">
        <f t="shared" si="212"/>
        <v>10.333629315875939</v>
      </c>
      <c r="L232" s="153">
        <f t="shared" si="212"/>
        <v>10.333629315875939</v>
      </c>
      <c r="M232" s="153">
        <f t="shared" si="212"/>
        <v>10.333629315875939</v>
      </c>
      <c r="N232" s="153">
        <f t="shared" si="212"/>
        <v>10.333629315875939</v>
      </c>
      <c r="O232" s="153">
        <f t="shared" si="212"/>
        <v>10.333629315875939</v>
      </c>
      <c r="P232" s="153">
        <f t="shared" si="212"/>
        <v>10.333629315875939</v>
      </c>
      <c r="Q232" s="153">
        <f t="shared" si="212"/>
        <v>27.108782298933722</v>
      </c>
      <c r="R232" s="153">
        <f t="shared" si="212"/>
        <v>10.333629315875939</v>
      </c>
      <c r="S232" s="153">
        <f t="shared" si="212"/>
        <v>10.333629315875939</v>
      </c>
      <c r="T232" s="153">
        <f t="shared" si="212"/>
        <v>10.333629315875939</v>
      </c>
      <c r="U232" s="153">
        <f t="shared" si="212"/>
        <v>10.333629315875939</v>
      </c>
      <c r="V232" s="153">
        <f t="shared" si="212"/>
        <v>10.333629315875939</v>
      </c>
      <c r="W232" s="153">
        <f t="shared" si="212"/>
        <v>10.333629315875939</v>
      </c>
      <c r="X232" s="153">
        <f t="shared" si="212"/>
        <v>10.333629315875939</v>
      </c>
      <c r="Y232" s="153">
        <f t="shared" si="212"/>
        <v>10.333629315875939</v>
      </c>
    </row>
    <row r="233" spans="5:25" x14ac:dyDescent="0.3">
      <c r="F233" s="160" t="s">
        <v>195</v>
      </c>
      <c r="G233" s="28" t="s">
        <v>283</v>
      </c>
      <c r="J233" s="153">
        <f t="shared" ref="J233:Y233" si="213">J197 * J224 * hours_in_year</f>
        <v>10.333629315875939</v>
      </c>
      <c r="K233" s="153">
        <f t="shared" si="213"/>
        <v>10.333629315875939</v>
      </c>
      <c r="L233" s="153">
        <f t="shared" si="213"/>
        <v>10.333629315875939</v>
      </c>
      <c r="M233" s="153">
        <f t="shared" si="213"/>
        <v>10.333629315875939</v>
      </c>
      <c r="N233" s="153">
        <f t="shared" si="213"/>
        <v>10.333629315875939</v>
      </c>
      <c r="O233" s="153">
        <f t="shared" si="213"/>
        <v>10.333629315875939</v>
      </c>
      <c r="P233" s="153">
        <f t="shared" si="213"/>
        <v>10.333629315875939</v>
      </c>
      <c r="Q233" s="153">
        <f t="shared" si="213"/>
        <v>27.108782298933722</v>
      </c>
      <c r="R233" s="153">
        <f t="shared" si="213"/>
        <v>10.333629315875939</v>
      </c>
      <c r="S233" s="153">
        <f t="shared" si="213"/>
        <v>10.333629315875939</v>
      </c>
      <c r="T233" s="153">
        <f t="shared" si="213"/>
        <v>10.333629315875939</v>
      </c>
      <c r="U233" s="153">
        <f t="shared" si="213"/>
        <v>10.333629315875939</v>
      </c>
      <c r="V233" s="153">
        <f t="shared" si="213"/>
        <v>10.333629315875939</v>
      </c>
      <c r="W233" s="153">
        <f t="shared" si="213"/>
        <v>10.333629315875939</v>
      </c>
      <c r="X233" s="153">
        <f t="shared" si="213"/>
        <v>10.333629315875939</v>
      </c>
      <c r="Y233" s="153">
        <f t="shared" si="213"/>
        <v>10.333629315875939</v>
      </c>
    </row>
    <row r="234" spans="5:25" x14ac:dyDescent="0.3">
      <c r="F234" s="160" t="s">
        <v>196</v>
      </c>
      <c r="G234" s="28" t="s">
        <v>283</v>
      </c>
      <c r="J234" s="153">
        <f t="shared" ref="J234:Y234" si="214">J202 * J224 * hours_in_year</f>
        <v>14.46827021842658</v>
      </c>
      <c r="K234" s="153">
        <f t="shared" si="214"/>
        <v>14.46827021842658</v>
      </c>
      <c r="L234" s="153">
        <f t="shared" si="214"/>
        <v>14.46827021842658</v>
      </c>
      <c r="M234" s="153">
        <f t="shared" si="214"/>
        <v>14.46827021842658</v>
      </c>
      <c r="N234" s="153">
        <f t="shared" si="214"/>
        <v>14.46827021842658</v>
      </c>
      <c r="O234" s="153">
        <f t="shared" si="214"/>
        <v>14.46827021842658</v>
      </c>
      <c r="P234" s="153">
        <f t="shared" si="214"/>
        <v>14.46827021842658</v>
      </c>
      <c r="Q234" s="153">
        <f t="shared" si="214"/>
        <v>43.618693839042187</v>
      </c>
      <c r="R234" s="153">
        <f t="shared" si="214"/>
        <v>14.46827021842658</v>
      </c>
      <c r="S234" s="153">
        <f t="shared" si="214"/>
        <v>14.46827021842658</v>
      </c>
      <c r="T234" s="153">
        <f t="shared" si="214"/>
        <v>14.46827021842658</v>
      </c>
      <c r="U234" s="153">
        <f t="shared" si="214"/>
        <v>14.46827021842658</v>
      </c>
      <c r="V234" s="153">
        <f t="shared" si="214"/>
        <v>14.46827021842658</v>
      </c>
      <c r="W234" s="153">
        <f t="shared" si="214"/>
        <v>14.46827021842658</v>
      </c>
      <c r="X234" s="153">
        <f t="shared" si="214"/>
        <v>14.46827021842658</v>
      </c>
      <c r="Y234" s="153">
        <f t="shared" si="214"/>
        <v>14.46827021842658</v>
      </c>
    </row>
    <row r="235" spans="5:25" x14ac:dyDescent="0.3">
      <c r="F235" s="160" t="s">
        <v>197</v>
      </c>
      <c r="G235" s="28" t="s">
        <v>283</v>
      </c>
      <c r="J235" s="153">
        <f t="shared" ref="J235:Y235" si="215">J207 * J224 * hours_in_year</f>
        <v>10.333629315875939</v>
      </c>
      <c r="K235" s="153">
        <f t="shared" si="215"/>
        <v>10.333629315875939</v>
      </c>
      <c r="L235" s="153">
        <f t="shared" si="215"/>
        <v>10.333629315875939</v>
      </c>
      <c r="M235" s="153">
        <f t="shared" si="215"/>
        <v>10.333629315875939</v>
      </c>
      <c r="N235" s="153">
        <f t="shared" si="215"/>
        <v>10.333629315875939</v>
      </c>
      <c r="O235" s="153">
        <f t="shared" si="215"/>
        <v>10.333629315875939</v>
      </c>
      <c r="P235" s="153">
        <f t="shared" si="215"/>
        <v>10.333629315875939</v>
      </c>
      <c r="Q235" s="153">
        <f t="shared" si="215"/>
        <v>27.108782298933722</v>
      </c>
      <c r="R235" s="153">
        <f t="shared" si="215"/>
        <v>10.333629315875939</v>
      </c>
      <c r="S235" s="153">
        <f t="shared" si="215"/>
        <v>10.333629315875939</v>
      </c>
      <c r="T235" s="153">
        <f t="shared" si="215"/>
        <v>10.333629315875939</v>
      </c>
      <c r="U235" s="153">
        <f t="shared" si="215"/>
        <v>10.333629315875939</v>
      </c>
      <c r="V235" s="153">
        <f t="shared" si="215"/>
        <v>10.333629315875939</v>
      </c>
      <c r="W235" s="153">
        <f t="shared" si="215"/>
        <v>10.333629315875939</v>
      </c>
      <c r="X235" s="153">
        <f t="shared" si="215"/>
        <v>10.333629315875939</v>
      </c>
      <c r="Y235" s="153">
        <f t="shared" si="215"/>
        <v>10.333629315875939</v>
      </c>
    </row>
    <row r="236" spans="5:25" x14ac:dyDescent="0.3">
      <c r="F236" s="160" t="s">
        <v>198</v>
      </c>
      <c r="G236" s="28" t="s">
        <v>283</v>
      </c>
      <c r="J236" s="153">
        <f t="shared" ref="J236:Y236" si="216">J212 * J224 * hours_in_year</f>
        <v>10.333629315875939</v>
      </c>
      <c r="K236" s="153">
        <f t="shared" si="216"/>
        <v>10.333629315875939</v>
      </c>
      <c r="L236" s="153">
        <f t="shared" si="216"/>
        <v>10.333629315875939</v>
      </c>
      <c r="M236" s="153">
        <f t="shared" si="216"/>
        <v>10.333629315875939</v>
      </c>
      <c r="N236" s="153">
        <f t="shared" si="216"/>
        <v>10.333629315875939</v>
      </c>
      <c r="O236" s="153">
        <f t="shared" si="216"/>
        <v>10.333629315875939</v>
      </c>
      <c r="P236" s="153">
        <f t="shared" si="216"/>
        <v>10.333629315875939</v>
      </c>
      <c r="Q236" s="153">
        <f t="shared" si="216"/>
        <v>27.108782298933722</v>
      </c>
      <c r="R236" s="153">
        <f t="shared" si="216"/>
        <v>10.333629315875939</v>
      </c>
      <c r="S236" s="153">
        <f t="shared" si="216"/>
        <v>10.333629315875939</v>
      </c>
      <c r="T236" s="153">
        <f t="shared" si="216"/>
        <v>10.333629315875939</v>
      </c>
      <c r="U236" s="153">
        <f t="shared" si="216"/>
        <v>10.333629315875939</v>
      </c>
      <c r="V236" s="153">
        <f t="shared" si="216"/>
        <v>10.333629315875939</v>
      </c>
      <c r="W236" s="153">
        <f t="shared" si="216"/>
        <v>10.333629315875939</v>
      </c>
      <c r="X236" s="153">
        <f t="shared" si="216"/>
        <v>10.333629315875939</v>
      </c>
      <c r="Y236" s="153">
        <f t="shared" si="216"/>
        <v>10.333629315875939</v>
      </c>
    </row>
    <row r="237" spans="5:25" x14ac:dyDescent="0.3">
      <c r="F237" s="161" t="s">
        <v>199</v>
      </c>
      <c r="G237" s="67" t="s">
        <v>283</v>
      </c>
      <c r="H237" s="37"/>
      <c r="I237" s="37"/>
      <c r="J237" s="153">
        <f t="shared" ref="J237:Y237" si="217">J217 * J224 * hours_in_year</f>
        <v>10.333629315875939</v>
      </c>
      <c r="K237" s="153">
        <f t="shared" si="217"/>
        <v>10.333629315875939</v>
      </c>
      <c r="L237" s="153">
        <f t="shared" si="217"/>
        <v>10.333629315875939</v>
      </c>
      <c r="M237" s="153">
        <f t="shared" si="217"/>
        <v>10.333629315875939</v>
      </c>
      <c r="N237" s="153">
        <f t="shared" si="217"/>
        <v>10.333629315875939</v>
      </c>
      <c r="O237" s="153">
        <f t="shared" si="217"/>
        <v>10.333629315875939</v>
      </c>
      <c r="P237" s="153">
        <f t="shared" si="217"/>
        <v>10.333629315875939</v>
      </c>
      <c r="Q237" s="153">
        <f t="shared" si="217"/>
        <v>27.108782298933722</v>
      </c>
      <c r="R237" s="153">
        <f t="shared" si="217"/>
        <v>10.333629315875939</v>
      </c>
      <c r="S237" s="153">
        <f t="shared" si="217"/>
        <v>10.333629315875939</v>
      </c>
      <c r="T237" s="153">
        <f t="shared" si="217"/>
        <v>10.333629315875939</v>
      </c>
      <c r="U237" s="153">
        <f t="shared" si="217"/>
        <v>10.333629315875939</v>
      </c>
      <c r="V237" s="153">
        <f t="shared" si="217"/>
        <v>10.333629315875939</v>
      </c>
      <c r="W237" s="153">
        <f t="shared" si="217"/>
        <v>10.333629315875939</v>
      </c>
      <c r="X237" s="153">
        <f t="shared" si="217"/>
        <v>10.333629315875939</v>
      </c>
      <c r="Y237" s="153">
        <f t="shared" si="217"/>
        <v>10.333629315875939</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0.33146454500865025</v>
      </c>
      <c r="K240" s="153">
        <f t="shared" si="218"/>
        <v>0.33146454500865025</v>
      </c>
      <c r="L240" s="153">
        <f t="shared" si="218"/>
        <v>0.33146454500865025</v>
      </c>
      <c r="M240" s="153">
        <f t="shared" si="218"/>
        <v>0.33146454500865025</v>
      </c>
      <c r="N240" s="153">
        <f t="shared" si="218"/>
        <v>0.33146454500865025</v>
      </c>
      <c r="O240" s="153">
        <f t="shared" si="218"/>
        <v>0.33146454500865025</v>
      </c>
      <c r="P240" s="153">
        <f t="shared" si="218"/>
        <v>0.33146454500865025</v>
      </c>
      <c r="Q240" s="153">
        <f t="shared" si="218"/>
        <v>0.8136338246588839</v>
      </c>
      <c r="R240" s="153">
        <f t="shared" si="218"/>
        <v>0.33146454500865025</v>
      </c>
      <c r="S240" s="153">
        <f t="shared" si="218"/>
        <v>0.33146454500865025</v>
      </c>
      <c r="T240" s="153">
        <f t="shared" si="218"/>
        <v>0.33146454500865025</v>
      </c>
      <c r="U240" s="153">
        <f t="shared" si="218"/>
        <v>0.33146454500865025</v>
      </c>
      <c r="V240" s="153">
        <f t="shared" si="218"/>
        <v>0.33146454500865025</v>
      </c>
      <c r="W240" s="153">
        <f t="shared" si="218"/>
        <v>0.33146454500865025</v>
      </c>
      <c r="X240" s="153">
        <f t="shared" si="218"/>
        <v>0.33146454500865025</v>
      </c>
      <c r="Y240" s="153">
        <f t="shared" si="218"/>
        <v>0.33146454500865025</v>
      </c>
    </row>
    <row r="241" spans="5:25" x14ac:dyDescent="0.3">
      <c r="F241" s="28" t="s">
        <v>192</v>
      </c>
      <c r="G241" s="28" t="s">
        <v>283</v>
      </c>
      <c r="J241" s="153">
        <f t="shared" ref="J241:Y241" si="219">J183 * J225 * hours_in_year</f>
        <v>0.30754243181729701</v>
      </c>
      <c r="K241" s="153">
        <f t="shared" si="219"/>
        <v>0.30754243181729701</v>
      </c>
      <c r="L241" s="153">
        <f t="shared" si="219"/>
        <v>0.30754243181729701</v>
      </c>
      <c r="M241" s="153">
        <f t="shared" si="219"/>
        <v>0.30754243181729701</v>
      </c>
      <c r="N241" s="153">
        <f t="shared" si="219"/>
        <v>0.30754243181729701</v>
      </c>
      <c r="O241" s="153">
        <f t="shared" si="219"/>
        <v>0.30754243181729701</v>
      </c>
      <c r="P241" s="153">
        <f t="shared" si="219"/>
        <v>0.30754243181729701</v>
      </c>
      <c r="Q241" s="153">
        <f t="shared" si="219"/>
        <v>0.51955210426403609</v>
      </c>
      <c r="R241" s="153">
        <f t="shared" si="219"/>
        <v>0.30754243181729701</v>
      </c>
      <c r="S241" s="153">
        <f t="shared" si="219"/>
        <v>0.30754243181729701</v>
      </c>
      <c r="T241" s="153">
        <f t="shared" si="219"/>
        <v>0.30754243181729701</v>
      </c>
      <c r="U241" s="153">
        <f t="shared" si="219"/>
        <v>0.30754243181729701</v>
      </c>
      <c r="V241" s="153">
        <f t="shared" si="219"/>
        <v>0.30754243181729701</v>
      </c>
      <c r="W241" s="153">
        <f t="shared" si="219"/>
        <v>0.30754243181729701</v>
      </c>
      <c r="X241" s="153">
        <f t="shared" si="219"/>
        <v>0.30754243181729701</v>
      </c>
      <c r="Y241" s="153">
        <f t="shared" si="219"/>
        <v>0.30754243181729701</v>
      </c>
    </row>
    <row r="242" spans="5:25" x14ac:dyDescent="0.3">
      <c r="F242" s="28" t="s">
        <v>193</v>
      </c>
      <c r="G242" s="28" t="s">
        <v>283</v>
      </c>
      <c r="J242" s="153">
        <f t="shared" ref="J242:Y242" si="220">J188 * J225 * hours_in_year</f>
        <v>0.30754243181729701</v>
      </c>
      <c r="K242" s="153">
        <f t="shared" si="220"/>
        <v>0.30754243181729701</v>
      </c>
      <c r="L242" s="153">
        <f t="shared" si="220"/>
        <v>0.30754243181729701</v>
      </c>
      <c r="M242" s="153">
        <f t="shared" si="220"/>
        <v>0.30754243181729701</v>
      </c>
      <c r="N242" s="153">
        <f t="shared" si="220"/>
        <v>0.30754243181729701</v>
      </c>
      <c r="O242" s="153">
        <f t="shared" si="220"/>
        <v>0.30754243181729701</v>
      </c>
      <c r="P242" s="153">
        <f t="shared" si="220"/>
        <v>0.30754243181729701</v>
      </c>
      <c r="Q242" s="153">
        <f t="shared" si="220"/>
        <v>0.51955210426403609</v>
      </c>
      <c r="R242" s="153">
        <f t="shared" si="220"/>
        <v>0.30754243181729701</v>
      </c>
      <c r="S242" s="153">
        <f t="shared" si="220"/>
        <v>0.30754243181729701</v>
      </c>
      <c r="T242" s="153">
        <f t="shared" si="220"/>
        <v>0.30754243181729701</v>
      </c>
      <c r="U242" s="153">
        <f t="shared" si="220"/>
        <v>0.30754243181729701</v>
      </c>
      <c r="V242" s="153">
        <f t="shared" si="220"/>
        <v>0.30754243181729701</v>
      </c>
      <c r="W242" s="153">
        <f t="shared" si="220"/>
        <v>0.30754243181729701</v>
      </c>
      <c r="X242" s="153">
        <f t="shared" si="220"/>
        <v>0.30754243181729701</v>
      </c>
      <c r="Y242" s="153">
        <f t="shared" si="220"/>
        <v>0.30754243181729701</v>
      </c>
    </row>
    <row r="243" spans="5:25" x14ac:dyDescent="0.3">
      <c r="F243" s="28" t="s">
        <v>194</v>
      </c>
      <c r="G243" s="28" t="s">
        <v>283</v>
      </c>
      <c r="J243" s="153">
        <f t="shared" ref="J243:Y243" si="221">J193 * J225 * hours_in_year</f>
        <v>0.86046379851715293</v>
      </c>
      <c r="K243" s="153">
        <f t="shared" si="221"/>
        <v>0.86046379851715293</v>
      </c>
      <c r="L243" s="153">
        <f t="shared" si="221"/>
        <v>0.86046379851715293</v>
      </c>
      <c r="M243" s="153">
        <f t="shared" si="221"/>
        <v>0.86046379851715293</v>
      </c>
      <c r="N243" s="153">
        <f t="shared" si="221"/>
        <v>0.86046379851715293</v>
      </c>
      <c r="O243" s="153">
        <f t="shared" si="221"/>
        <v>0.86046379851715293</v>
      </c>
      <c r="P243" s="153">
        <f t="shared" si="221"/>
        <v>0.86046379851715293</v>
      </c>
      <c r="Q243" s="153">
        <f t="shared" si="221"/>
        <v>1.1109221068543234</v>
      </c>
      <c r="R243" s="153">
        <f t="shared" si="221"/>
        <v>0.86046379851715293</v>
      </c>
      <c r="S243" s="153">
        <f t="shared" si="221"/>
        <v>0.86046379851715293</v>
      </c>
      <c r="T243" s="153">
        <f t="shared" si="221"/>
        <v>0.86046379851715293</v>
      </c>
      <c r="U243" s="153">
        <f t="shared" si="221"/>
        <v>0.86046379851715293</v>
      </c>
      <c r="V243" s="153">
        <f t="shared" si="221"/>
        <v>0.86046379851715293</v>
      </c>
      <c r="W243" s="153">
        <f t="shared" si="221"/>
        <v>0.86046379851715293</v>
      </c>
      <c r="X243" s="153">
        <f t="shared" si="221"/>
        <v>0.86046379851715293</v>
      </c>
      <c r="Y243" s="153">
        <f t="shared" si="221"/>
        <v>0.86046379851715293</v>
      </c>
    </row>
    <row r="244" spans="5:25" x14ac:dyDescent="0.3">
      <c r="F244" s="28" t="s">
        <v>195</v>
      </c>
      <c r="G244" s="28" t="s">
        <v>283</v>
      </c>
      <c r="J244" s="153">
        <f t="shared" ref="J244:Y244" si="222">J198 * J225 * hours_in_year</f>
        <v>0.86046379851715293</v>
      </c>
      <c r="K244" s="153">
        <f t="shared" si="222"/>
        <v>0.86046379851715293</v>
      </c>
      <c r="L244" s="153">
        <f t="shared" si="222"/>
        <v>0.86046379851715293</v>
      </c>
      <c r="M244" s="153">
        <f t="shared" si="222"/>
        <v>0.86046379851715293</v>
      </c>
      <c r="N244" s="153">
        <f t="shared" si="222"/>
        <v>0.86046379851715293</v>
      </c>
      <c r="O244" s="153">
        <f t="shared" si="222"/>
        <v>0.86046379851715293</v>
      </c>
      <c r="P244" s="153">
        <f t="shared" si="222"/>
        <v>0.86046379851715293</v>
      </c>
      <c r="Q244" s="153">
        <f t="shared" si="222"/>
        <v>1.1109221068543234</v>
      </c>
      <c r="R244" s="153">
        <f t="shared" si="222"/>
        <v>0.86046379851715293</v>
      </c>
      <c r="S244" s="153">
        <f t="shared" si="222"/>
        <v>0.86046379851715293</v>
      </c>
      <c r="T244" s="153">
        <f t="shared" si="222"/>
        <v>0.86046379851715293</v>
      </c>
      <c r="U244" s="153">
        <f t="shared" si="222"/>
        <v>0.86046379851715293</v>
      </c>
      <c r="V244" s="153">
        <f t="shared" si="222"/>
        <v>0.86046379851715293</v>
      </c>
      <c r="W244" s="153">
        <f t="shared" si="222"/>
        <v>0.86046379851715293</v>
      </c>
      <c r="X244" s="153">
        <f t="shared" si="222"/>
        <v>0.86046379851715293</v>
      </c>
      <c r="Y244" s="153">
        <f t="shared" si="222"/>
        <v>0.86046379851715293</v>
      </c>
    </row>
    <row r="245" spans="5:25" x14ac:dyDescent="0.3">
      <c r="F245" s="28" t="s">
        <v>196</v>
      </c>
      <c r="G245" s="28" t="s">
        <v>283</v>
      </c>
      <c r="J245" s="153">
        <f t="shared" ref="J245:Y245" si="223">J203 * J225 * hours_in_year</f>
        <v>0.30754243181729701</v>
      </c>
      <c r="K245" s="153">
        <f t="shared" si="223"/>
        <v>0.30754243181729701</v>
      </c>
      <c r="L245" s="153">
        <f t="shared" si="223"/>
        <v>0.30754243181729701</v>
      </c>
      <c r="M245" s="153">
        <f t="shared" si="223"/>
        <v>0.30754243181729701</v>
      </c>
      <c r="N245" s="153">
        <f t="shared" si="223"/>
        <v>0.30754243181729701</v>
      </c>
      <c r="O245" s="153">
        <f t="shared" si="223"/>
        <v>0.30754243181729701</v>
      </c>
      <c r="P245" s="153">
        <f t="shared" si="223"/>
        <v>0.30754243181729701</v>
      </c>
      <c r="Q245" s="153">
        <f t="shared" si="223"/>
        <v>0.51955210426403609</v>
      </c>
      <c r="R245" s="153">
        <f t="shared" si="223"/>
        <v>0.30754243181729701</v>
      </c>
      <c r="S245" s="153">
        <f t="shared" si="223"/>
        <v>0.30754243181729701</v>
      </c>
      <c r="T245" s="153">
        <f t="shared" si="223"/>
        <v>0.30754243181729701</v>
      </c>
      <c r="U245" s="153">
        <f t="shared" si="223"/>
        <v>0.30754243181729701</v>
      </c>
      <c r="V245" s="153">
        <f t="shared" si="223"/>
        <v>0.30754243181729701</v>
      </c>
      <c r="W245" s="153">
        <f t="shared" si="223"/>
        <v>0.30754243181729701</v>
      </c>
      <c r="X245" s="153">
        <f t="shared" si="223"/>
        <v>0.30754243181729701</v>
      </c>
      <c r="Y245" s="153">
        <f t="shared" si="223"/>
        <v>0.30754243181729701</v>
      </c>
    </row>
    <row r="246" spans="5:25" x14ac:dyDescent="0.3">
      <c r="F246" s="28" t="s">
        <v>197</v>
      </c>
      <c r="G246" s="28" t="s">
        <v>283</v>
      </c>
      <c r="J246" s="153">
        <f t="shared" ref="J246:Y246" si="224">J208 * J225 * hours_in_year</f>
        <v>0.86046379851715293</v>
      </c>
      <c r="K246" s="153">
        <f t="shared" si="224"/>
        <v>0.86046379851715293</v>
      </c>
      <c r="L246" s="153">
        <f t="shared" si="224"/>
        <v>0.86046379851715293</v>
      </c>
      <c r="M246" s="153">
        <f t="shared" si="224"/>
        <v>0.86046379851715293</v>
      </c>
      <c r="N246" s="153">
        <f t="shared" si="224"/>
        <v>0.86046379851715293</v>
      </c>
      <c r="O246" s="153">
        <f t="shared" si="224"/>
        <v>0.86046379851715293</v>
      </c>
      <c r="P246" s="153">
        <f t="shared" si="224"/>
        <v>0.86046379851715293</v>
      </c>
      <c r="Q246" s="153">
        <f t="shared" si="224"/>
        <v>1.1109221068543234</v>
      </c>
      <c r="R246" s="153">
        <f t="shared" si="224"/>
        <v>0.86046379851715293</v>
      </c>
      <c r="S246" s="153">
        <f t="shared" si="224"/>
        <v>0.86046379851715293</v>
      </c>
      <c r="T246" s="153">
        <f t="shared" si="224"/>
        <v>0.86046379851715293</v>
      </c>
      <c r="U246" s="153">
        <f t="shared" si="224"/>
        <v>0.86046379851715293</v>
      </c>
      <c r="V246" s="153">
        <f t="shared" si="224"/>
        <v>0.86046379851715293</v>
      </c>
      <c r="W246" s="153">
        <f t="shared" si="224"/>
        <v>0.86046379851715293</v>
      </c>
      <c r="X246" s="153">
        <f t="shared" si="224"/>
        <v>0.86046379851715293</v>
      </c>
      <c r="Y246" s="153">
        <f t="shared" si="224"/>
        <v>0.86046379851715293</v>
      </c>
    </row>
    <row r="247" spans="5:25" x14ac:dyDescent="0.3">
      <c r="F247" s="28" t="s">
        <v>198</v>
      </c>
      <c r="G247" s="28" t="s">
        <v>283</v>
      </c>
      <c r="J247" s="153">
        <f t="shared" ref="J247:Y247" si="225">J213 * J225 * hours_in_year</f>
        <v>0.86046379851715293</v>
      </c>
      <c r="K247" s="153">
        <f t="shared" si="225"/>
        <v>0.86046379851715293</v>
      </c>
      <c r="L247" s="153">
        <f t="shared" si="225"/>
        <v>0.86046379851715293</v>
      </c>
      <c r="M247" s="153">
        <f t="shared" si="225"/>
        <v>0.86046379851715293</v>
      </c>
      <c r="N247" s="153">
        <f t="shared" si="225"/>
        <v>0.86046379851715293</v>
      </c>
      <c r="O247" s="153">
        <f t="shared" si="225"/>
        <v>0.86046379851715293</v>
      </c>
      <c r="P247" s="153">
        <f t="shared" si="225"/>
        <v>0.86046379851715293</v>
      </c>
      <c r="Q247" s="153">
        <f t="shared" si="225"/>
        <v>1.1109221068543234</v>
      </c>
      <c r="R247" s="153">
        <f t="shared" si="225"/>
        <v>0.86046379851715293</v>
      </c>
      <c r="S247" s="153">
        <f t="shared" si="225"/>
        <v>0.86046379851715293</v>
      </c>
      <c r="T247" s="153">
        <f t="shared" si="225"/>
        <v>0.86046379851715293</v>
      </c>
      <c r="U247" s="153">
        <f t="shared" si="225"/>
        <v>0.86046379851715293</v>
      </c>
      <c r="V247" s="153">
        <f t="shared" si="225"/>
        <v>0.86046379851715293</v>
      </c>
      <c r="W247" s="153">
        <f t="shared" si="225"/>
        <v>0.86046379851715293</v>
      </c>
      <c r="X247" s="153">
        <f t="shared" si="225"/>
        <v>0.86046379851715293</v>
      </c>
      <c r="Y247" s="153">
        <f t="shared" si="225"/>
        <v>0.86046379851715293</v>
      </c>
    </row>
    <row r="248" spans="5:25" x14ac:dyDescent="0.3">
      <c r="F248" s="67" t="s">
        <v>199</v>
      </c>
      <c r="G248" s="67" t="s">
        <v>283</v>
      </c>
      <c r="H248" s="37"/>
      <c r="I248" s="37"/>
      <c r="J248" s="153">
        <f t="shared" ref="J248:Y248" si="226">J218 * J225 * hours_in_year</f>
        <v>0.86046379851715293</v>
      </c>
      <c r="K248" s="153">
        <f t="shared" si="226"/>
        <v>0.86046379851715293</v>
      </c>
      <c r="L248" s="153">
        <f t="shared" si="226"/>
        <v>0.86046379851715293</v>
      </c>
      <c r="M248" s="153">
        <f t="shared" si="226"/>
        <v>0.86046379851715293</v>
      </c>
      <c r="N248" s="153">
        <f t="shared" si="226"/>
        <v>0.86046379851715293</v>
      </c>
      <c r="O248" s="153">
        <f t="shared" si="226"/>
        <v>0.86046379851715293</v>
      </c>
      <c r="P248" s="153">
        <f t="shared" si="226"/>
        <v>0.86046379851715293</v>
      </c>
      <c r="Q248" s="153">
        <f t="shared" si="226"/>
        <v>1.1109221068543234</v>
      </c>
      <c r="R248" s="153">
        <f t="shared" si="226"/>
        <v>0.86046379851715293</v>
      </c>
      <c r="S248" s="153">
        <f t="shared" si="226"/>
        <v>0.86046379851715293</v>
      </c>
      <c r="T248" s="153">
        <f t="shared" si="226"/>
        <v>0.86046379851715293</v>
      </c>
      <c r="U248" s="153">
        <f t="shared" si="226"/>
        <v>0.86046379851715293</v>
      </c>
      <c r="V248" s="153">
        <f t="shared" si="226"/>
        <v>0.86046379851715293</v>
      </c>
      <c r="W248" s="153">
        <f t="shared" si="226"/>
        <v>0.86046379851715293</v>
      </c>
      <c r="X248" s="153">
        <f t="shared" si="226"/>
        <v>0.86046379851715293</v>
      </c>
      <c r="Y248" s="153">
        <f t="shared" si="226"/>
        <v>0.86046379851715293</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192</v>
      </c>
      <c r="G252" s="28" t="s">
        <v>283</v>
      </c>
      <c r="J252" s="153">
        <f t="shared" ref="J252:Y252" si="228">J184 * J226 * hours_in_year</f>
        <v>3.0952609679297825E-2</v>
      </c>
      <c r="K252" s="153">
        <f t="shared" si="228"/>
        <v>3.0952609679297825E-2</v>
      </c>
      <c r="L252" s="153">
        <f t="shared" si="228"/>
        <v>3.0952609679297825E-2</v>
      </c>
      <c r="M252" s="153">
        <f t="shared" si="228"/>
        <v>3.0952609679297825E-2</v>
      </c>
      <c r="N252" s="153">
        <f t="shared" si="228"/>
        <v>3.0952609679297825E-2</v>
      </c>
      <c r="O252" s="153">
        <f t="shared" si="228"/>
        <v>3.0952609679297825E-2</v>
      </c>
      <c r="P252" s="153">
        <f t="shared" si="228"/>
        <v>3.0952609679297825E-2</v>
      </c>
      <c r="Q252" s="153">
        <f t="shared" si="228"/>
        <v>3.0952609679297825E-2</v>
      </c>
      <c r="R252" s="153">
        <f t="shared" si="228"/>
        <v>3.0952609679297825E-2</v>
      </c>
      <c r="S252" s="153">
        <f t="shared" si="228"/>
        <v>3.0952609679297825E-2</v>
      </c>
      <c r="T252" s="153">
        <f t="shared" si="228"/>
        <v>3.0952609679297825E-2</v>
      </c>
      <c r="U252" s="153">
        <f t="shared" si="228"/>
        <v>3.0952609679297825E-2</v>
      </c>
      <c r="V252" s="153">
        <f t="shared" si="228"/>
        <v>3.0952609679297825E-2</v>
      </c>
      <c r="W252" s="153">
        <f t="shared" si="228"/>
        <v>3.0952609679297825E-2</v>
      </c>
      <c r="X252" s="153">
        <f t="shared" si="228"/>
        <v>3.0952609679297825E-2</v>
      </c>
      <c r="Y252" s="153">
        <f t="shared" si="228"/>
        <v>3.0952609679297825E-2</v>
      </c>
    </row>
    <row r="253" spans="5:25" x14ac:dyDescent="0.3">
      <c r="F253" s="28" t="s">
        <v>193</v>
      </c>
      <c r="G253" s="28" t="s">
        <v>283</v>
      </c>
      <c r="J253" s="153">
        <f t="shared" ref="J253:Y253" si="229">J189 * J226 * hours_in_year</f>
        <v>3.0952609679297825E-2</v>
      </c>
      <c r="K253" s="153">
        <f t="shared" si="229"/>
        <v>3.0952609679297825E-2</v>
      </c>
      <c r="L253" s="153">
        <f t="shared" si="229"/>
        <v>3.0952609679297825E-2</v>
      </c>
      <c r="M253" s="153">
        <f t="shared" si="229"/>
        <v>3.0952609679297825E-2</v>
      </c>
      <c r="N253" s="153">
        <f t="shared" si="229"/>
        <v>3.0952609679297825E-2</v>
      </c>
      <c r="O253" s="153">
        <f t="shared" si="229"/>
        <v>3.0952609679297825E-2</v>
      </c>
      <c r="P253" s="153">
        <f t="shared" si="229"/>
        <v>3.0952609679297825E-2</v>
      </c>
      <c r="Q253" s="153">
        <f t="shared" si="229"/>
        <v>3.0952609679297825E-2</v>
      </c>
      <c r="R253" s="153">
        <f t="shared" si="229"/>
        <v>3.0952609679297825E-2</v>
      </c>
      <c r="S253" s="153">
        <f t="shared" si="229"/>
        <v>3.0952609679297825E-2</v>
      </c>
      <c r="T253" s="153">
        <f t="shared" si="229"/>
        <v>3.0952609679297825E-2</v>
      </c>
      <c r="U253" s="153">
        <f t="shared" si="229"/>
        <v>3.0952609679297825E-2</v>
      </c>
      <c r="V253" s="153">
        <f t="shared" si="229"/>
        <v>3.0952609679297825E-2</v>
      </c>
      <c r="W253" s="153">
        <f t="shared" si="229"/>
        <v>3.0952609679297825E-2</v>
      </c>
      <c r="X253" s="153">
        <f t="shared" si="229"/>
        <v>3.0952609679297825E-2</v>
      </c>
      <c r="Y253" s="153">
        <f t="shared" si="229"/>
        <v>3.0952609679297825E-2</v>
      </c>
    </row>
    <row r="254" spans="5:25" x14ac:dyDescent="0.3">
      <c r="F254" s="28" t="s">
        <v>194</v>
      </c>
      <c r="G254" s="28" t="s">
        <v>283</v>
      </c>
      <c r="J254" s="153">
        <f t="shared" ref="J254:Y254" si="230">J194 * J226 * hours_in_year</f>
        <v>8.3939961414202055E-2</v>
      </c>
      <c r="K254" s="153">
        <f t="shared" si="230"/>
        <v>8.3939961414202055E-2</v>
      </c>
      <c r="L254" s="153">
        <f t="shared" si="230"/>
        <v>8.3939961414202055E-2</v>
      </c>
      <c r="M254" s="153">
        <f t="shared" si="230"/>
        <v>8.3939961414202055E-2</v>
      </c>
      <c r="N254" s="153">
        <f t="shared" si="230"/>
        <v>8.3939961414202055E-2</v>
      </c>
      <c r="O254" s="153">
        <f t="shared" si="230"/>
        <v>8.3939961414202055E-2</v>
      </c>
      <c r="P254" s="153">
        <f t="shared" si="230"/>
        <v>8.3939961414202055E-2</v>
      </c>
      <c r="Q254" s="153">
        <f t="shared" si="230"/>
        <v>8.3939961414202055E-2</v>
      </c>
      <c r="R254" s="153">
        <f t="shared" si="230"/>
        <v>8.3939961414202055E-2</v>
      </c>
      <c r="S254" s="153">
        <f t="shared" si="230"/>
        <v>8.3939961414202055E-2</v>
      </c>
      <c r="T254" s="153">
        <f t="shared" si="230"/>
        <v>8.3939961414202055E-2</v>
      </c>
      <c r="U254" s="153">
        <f t="shared" si="230"/>
        <v>8.3939961414202055E-2</v>
      </c>
      <c r="V254" s="153">
        <f t="shared" si="230"/>
        <v>8.3939961414202055E-2</v>
      </c>
      <c r="W254" s="153">
        <f t="shared" si="230"/>
        <v>8.3939961414202055E-2</v>
      </c>
      <c r="X254" s="153">
        <f t="shared" si="230"/>
        <v>8.3939961414202055E-2</v>
      </c>
      <c r="Y254" s="153">
        <f t="shared" si="230"/>
        <v>8.3939961414202055E-2</v>
      </c>
    </row>
    <row r="255" spans="5:25" x14ac:dyDescent="0.3">
      <c r="F255" s="28" t="s">
        <v>195</v>
      </c>
      <c r="G255" s="28" t="s">
        <v>283</v>
      </c>
      <c r="J255" s="153">
        <f t="shared" ref="J255:Y255" si="231">J199 * J226 * hours_in_year</f>
        <v>8.3939961414202055E-2</v>
      </c>
      <c r="K255" s="153">
        <f t="shared" si="231"/>
        <v>8.3939961414202055E-2</v>
      </c>
      <c r="L255" s="153">
        <f t="shared" si="231"/>
        <v>8.3939961414202055E-2</v>
      </c>
      <c r="M255" s="153">
        <f t="shared" si="231"/>
        <v>8.3939961414202055E-2</v>
      </c>
      <c r="N255" s="153">
        <f t="shared" si="231"/>
        <v>8.3939961414202055E-2</v>
      </c>
      <c r="O255" s="153">
        <f t="shared" si="231"/>
        <v>8.3939961414202055E-2</v>
      </c>
      <c r="P255" s="153">
        <f t="shared" si="231"/>
        <v>8.3939961414202055E-2</v>
      </c>
      <c r="Q255" s="153">
        <f t="shared" si="231"/>
        <v>8.3939961414202055E-2</v>
      </c>
      <c r="R255" s="153">
        <f t="shared" si="231"/>
        <v>8.3939961414202055E-2</v>
      </c>
      <c r="S255" s="153">
        <f t="shared" si="231"/>
        <v>8.3939961414202055E-2</v>
      </c>
      <c r="T255" s="153">
        <f t="shared" si="231"/>
        <v>8.3939961414202055E-2</v>
      </c>
      <c r="U255" s="153">
        <f t="shared" si="231"/>
        <v>8.3939961414202055E-2</v>
      </c>
      <c r="V255" s="153">
        <f t="shared" si="231"/>
        <v>8.3939961414202055E-2</v>
      </c>
      <c r="W255" s="153">
        <f t="shared" si="231"/>
        <v>8.3939961414202055E-2</v>
      </c>
      <c r="X255" s="153">
        <f t="shared" si="231"/>
        <v>8.3939961414202055E-2</v>
      </c>
      <c r="Y255" s="153">
        <f t="shared" si="231"/>
        <v>8.3939961414202055E-2</v>
      </c>
    </row>
    <row r="256" spans="5:25" x14ac:dyDescent="0.3">
      <c r="F256" s="28" t="s">
        <v>196</v>
      </c>
      <c r="G256" s="28" t="s">
        <v>283</v>
      </c>
      <c r="J256" s="153">
        <f t="shared" ref="J256:Y256" si="232">J204 * J226 * hours_in_year</f>
        <v>3.0952609679297825E-2</v>
      </c>
      <c r="K256" s="153">
        <f t="shared" si="232"/>
        <v>3.0952609679297825E-2</v>
      </c>
      <c r="L256" s="153">
        <f t="shared" si="232"/>
        <v>3.0952609679297825E-2</v>
      </c>
      <c r="M256" s="153">
        <f t="shared" si="232"/>
        <v>3.0952609679297825E-2</v>
      </c>
      <c r="N256" s="153">
        <f t="shared" si="232"/>
        <v>3.0952609679297825E-2</v>
      </c>
      <c r="O256" s="153">
        <f t="shared" si="232"/>
        <v>3.0952609679297825E-2</v>
      </c>
      <c r="P256" s="153">
        <f t="shared" si="232"/>
        <v>3.0952609679297825E-2</v>
      </c>
      <c r="Q256" s="153">
        <f t="shared" si="232"/>
        <v>3.0952609679297825E-2</v>
      </c>
      <c r="R256" s="153">
        <f t="shared" si="232"/>
        <v>3.0952609679297825E-2</v>
      </c>
      <c r="S256" s="153">
        <f t="shared" si="232"/>
        <v>3.0952609679297825E-2</v>
      </c>
      <c r="T256" s="153">
        <f t="shared" si="232"/>
        <v>3.0952609679297825E-2</v>
      </c>
      <c r="U256" s="153">
        <f t="shared" si="232"/>
        <v>3.0952609679297825E-2</v>
      </c>
      <c r="V256" s="153">
        <f t="shared" si="232"/>
        <v>3.0952609679297825E-2</v>
      </c>
      <c r="W256" s="153">
        <f t="shared" si="232"/>
        <v>3.0952609679297825E-2</v>
      </c>
      <c r="X256" s="153">
        <f t="shared" si="232"/>
        <v>3.0952609679297825E-2</v>
      </c>
      <c r="Y256" s="153">
        <f t="shared" si="232"/>
        <v>3.0952609679297825E-2</v>
      </c>
    </row>
    <row r="257" spans="2:27" x14ac:dyDescent="0.3">
      <c r="F257" s="28" t="s">
        <v>197</v>
      </c>
      <c r="G257" s="28" t="s">
        <v>283</v>
      </c>
      <c r="J257" s="153">
        <f t="shared" ref="J257:Y257" si="233">J209 * J226 * hours_in_year</f>
        <v>8.3939961414202055E-2</v>
      </c>
      <c r="K257" s="153">
        <f t="shared" si="233"/>
        <v>8.3939961414202055E-2</v>
      </c>
      <c r="L257" s="153">
        <f t="shared" si="233"/>
        <v>8.3939961414202055E-2</v>
      </c>
      <c r="M257" s="153">
        <f t="shared" si="233"/>
        <v>8.3939961414202055E-2</v>
      </c>
      <c r="N257" s="153">
        <f t="shared" si="233"/>
        <v>8.3939961414202055E-2</v>
      </c>
      <c r="O257" s="153">
        <f t="shared" si="233"/>
        <v>8.3939961414202055E-2</v>
      </c>
      <c r="P257" s="153">
        <f t="shared" si="233"/>
        <v>8.3939961414202055E-2</v>
      </c>
      <c r="Q257" s="153">
        <f t="shared" si="233"/>
        <v>8.3939961414202055E-2</v>
      </c>
      <c r="R257" s="153">
        <f t="shared" si="233"/>
        <v>8.3939961414202055E-2</v>
      </c>
      <c r="S257" s="153">
        <f t="shared" si="233"/>
        <v>8.3939961414202055E-2</v>
      </c>
      <c r="T257" s="153">
        <f t="shared" si="233"/>
        <v>8.3939961414202055E-2</v>
      </c>
      <c r="U257" s="153">
        <f t="shared" si="233"/>
        <v>8.3939961414202055E-2</v>
      </c>
      <c r="V257" s="153">
        <f t="shared" si="233"/>
        <v>8.3939961414202055E-2</v>
      </c>
      <c r="W257" s="153">
        <f t="shared" si="233"/>
        <v>8.3939961414202055E-2</v>
      </c>
      <c r="X257" s="153">
        <f t="shared" si="233"/>
        <v>8.3939961414202055E-2</v>
      </c>
      <c r="Y257" s="153">
        <f t="shared" si="233"/>
        <v>8.3939961414202055E-2</v>
      </c>
    </row>
    <row r="258" spans="2:27" x14ac:dyDescent="0.3">
      <c r="F258" s="28" t="s">
        <v>198</v>
      </c>
      <c r="G258" s="28" t="s">
        <v>283</v>
      </c>
      <c r="J258" s="153">
        <f t="shared" ref="J258:Y258" si="234">J214 * J226 * hours_in_year</f>
        <v>8.3939961414202055E-2</v>
      </c>
      <c r="K258" s="153">
        <f t="shared" si="234"/>
        <v>8.3939961414202055E-2</v>
      </c>
      <c r="L258" s="153">
        <f t="shared" si="234"/>
        <v>8.3939961414202055E-2</v>
      </c>
      <c r="M258" s="153">
        <f t="shared" si="234"/>
        <v>8.3939961414202055E-2</v>
      </c>
      <c r="N258" s="153">
        <f t="shared" si="234"/>
        <v>8.3939961414202055E-2</v>
      </c>
      <c r="O258" s="153">
        <f t="shared" si="234"/>
        <v>8.3939961414202055E-2</v>
      </c>
      <c r="P258" s="153">
        <f t="shared" si="234"/>
        <v>8.3939961414202055E-2</v>
      </c>
      <c r="Q258" s="153">
        <f t="shared" si="234"/>
        <v>8.3939961414202055E-2</v>
      </c>
      <c r="R258" s="153">
        <f t="shared" si="234"/>
        <v>8.3939961414202055E-2</v>
      </c>
      <c r="S258" s="153">
        <f t="shared" si="234"/>
        <v>8.3939961414202055E-2</v>
      </c>
      <c r="T258" s="153">
        <f t="shared" si="234"/>
        <v>8.3939961414202055E-2</v>
      </c>
      <c r="U258" s="153">
        <f t="shared" si="234"/>
        <v>8.3939961414202055E-2</v>
      </c>
      <c r="V258" s="153">
        <f t="shared" si="234"/>
        <v>8.3939961414202055E-2</v>
      </c>
      <c r="W258" s="153">
        <f t="shared" si="234"/>
        <v>8.3939961414202055E-2</v>
      </c>
      <c r="X258" s="153">
        <f t="shared" si="234"/>
        <v>8.3939961414202055E-2</v>
      </c>
      <c r="Y258" s="153">
        <f t="shared" si="234"/>
        <v>8.3939961414202055E-2</v>
      </c>
    </row>
    <row r="259" spans="2:27" x14ac:dyDescent="0.3">
      <c r="F259" s="67" t="s">
        <v>199</v>
      </c>
      <c r="G259" s="67" t="s">
        <v>283</v>
      </c>
      <c r="H259" s="37"/>
      <c r="I259" s="37"/>
      <c r="J259" s="153">
        <f t="shared" ref="J259:Y259" si="235">J219 * J226 * hours_in_year</f>
        <v>8.3939961414202055E-2</v>
      </c>
      <c r="K259" s="153">
        <f t="shared" si="235"/>
        <v>8.3939961414202055E-2</v>
      </c>
      <c r="L259" s="153">
        <f t="shared" si="235"/>
        <v>8.3939961414202055E-2</v>
      </c>
      <c r="M259" s="153">
        <f t="shared" si="235"/>
        <v>8.3939961414202055E-2</v>
      </c>
      <c r="N259" s="153">
        <f t="shared" si="235"/>
        <v>8.3939961414202055E-2</v>
      </c>
      <c r="O259" s="153">
        <f t="shared" si="235"/>
        <v>8.3939961414202055E-2</v>
      </c>
      <c r="P259" s="153">
        <f t="shared" si="235"/>
        <v>8.3939961414202055E-2</v>
      </c>
      <c r="Q259" s="153">
        <f t="shared" si="235"/>
        <v>8.3939961414202055E-2</v>
      </c>
      <c r="R259" s="153">
        <f t="shared" si="235"/>
        <v>8.3939961414202055E-2</v>
      </c>
      <c r="S259" s="153">
        <f t="shared" si="235"/>
        <v>8.3939961414202055E-2</v>
      </c>
      <c r="T259" s="153">
        <f t="shared" si="235"/>
        <v>8.3939961414202055E-2</v>
      </c>
      <c r="U259" s="153">
        <f t="shared" si="235"/>
        <v>8.3939961414202055E-2</v>
      </c>
      <c r="V259" s="153">
        <f t="shared" si="235"/>
        <v>8.3939961414202055E-2</v>
      </c>
      <c r="W259" s="153">
        <f t="shared" si="235"/>
        <v>8.3939961414202055E-2</v>
      </c>
      <c r="X259" s="153">
        <f t="shared" si="235"/>
        <v>8.3939961414202055E-2</v>
      </c>
      <c r="Y259" s="153">
        <f t="shared" si="235"/>
        <v>8.3939961414202055E-2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2.1096612546980307</v>
      </c>
      <c r="K267" s="121">
        <f t="shared" ref="K267:Y267" si="236">K91</f>
        <v>2.1096612546980307</v>
      </c>
      <c r="L267" s="121">
        <f t="shared" si="236"/>
        <v>1.6059110591609009</v>
      </c>
      <c r="M267" s="121">
        <f t="shared" si="236"/>
        <v>1.6059110591609009</v>
      </c>
      <c r="N267" s="121">
        <f t="shared" si="236"/>
        <v>1.3169173645892358</v>
      </c>
      <c r="O267" s="121">
        <f t="shared" si="236"/>
        <v>1.2001683191523771</v>
      </c>
      <c r="P267" s="121">
        <f t="shared" si="236"/>
        <v>1.0578125160661582</v>
      </c>
      <c r="Q267" s="121">
        <f t="shared" si="236"/>
        <v>1.9573195052283816</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24.543348162285486</v>
      </c>
      <c r="K272" s="101">
        <f t="shared" ref="K272:Y272" si="237">K229 * K$93</f>
        <v>24.543348162285486</v>
      </c>
      <c r="L272" s="101">
        <f t="shared" si="237"/>
        <v>22.24175919755891</v>
      </c>
      <c r="M272" s="101">
        <f t="shared" si="237"/>
        <v>22.24175919755891</v>
      </c>
      <c r="N272" s="101">
        <f t="shared" si="237"/>
        <v>16.376816069662247</v>
      </c>
      <c r="O272" s="101">
        <f t="shared" si="237"/>
        <v>16.195150191511249</v>
      </c>
      <c r="P272" s="101">
        <f t="shared" si="237"/>
        <v>14.828470754772843</v>
      </c>
      <c r="Q272" s="101">
        <f t="shared" si="237"/>
        <v>46.861214592791434</v>
      </c>
      <c r="R272" s="101">
        <f t="shared" si="237"/>
        <v>14.594705185804997</v>
      </c>
      <c r="S272" s="101">
        <f t="shared" si="237"/>
        <v>14.594705185804997</v>
      </c>
      <c r="T272" s="101">
        <f t="shared" si="237"/>
        <v>14.594705185804997</v>
      </c>
      <c r="U272" s="101">
        <f t="shared" si="237"/>
        <v>14.594705185804997</v>
      </c>
      <c r="V272" s="101">
        <f t="shared" si="237"/>
        <v>14.594705185804997</v>
      </c>
      <c r="W272" s="101">
        <f t="shared" si="237"/>
        <v>14.594705185804997</v>
      </c>
      <c r="X272" s="101">
        <f t="shared" si="237"/>
        <v>14.594705185804997</v>
      </c>
      <c r="Y272" s="101">
        <f t="shared" si="237"/>
        <v>14.594705185804997</v>
      </c>
    </row>
    <row r="273" spans="5:25" x14ac:dyDescent="0.3">
      <c r="F273" s="28" t="s">
        <v>192</v>
      </c>
      <c r="G273" s="28" t="s">
        <v>283</v>
      </c>
      <c r="J273" s="121">
        <f t="shared" ref="J273:Y273" si="238">J230 * J$93</f>
        <v>24.330727394359741</v>
      </c>
      <c r="K273" s="121">
        <f t="shared" si="238"/>
        <v>24.330727394359741</v>
      </c>
      <c r="L273" s="121">
        <f t="shared" si="238"/>
        <v>22.049077258267864</v>
      </c>
      <c r="M273" s="121">
        <f t="shared" si="238"/>
        <v>22.049077258267864</v>
      </c>
      <c r="N273" s="121">
        <f t="shared" si="238"/>
        <v>16.234942549151263</v>
      </c>
      <c r="O273" s="121">
        <f t="shared" si="238"/>
        <v>16.05485045540258</v>
      </c>
      <c r="P273" s="121">
        <f t="shared" si="238"/>
        <v>14.700010659671024</v>
      </c>
      <c r="Q273" s="121">
        <f t="shared" si="238"/>
        <v>54.923589878690656</v>
      </c>
      <c r="R273" s="121">
        <f t="shared" si="238"/>
        <v>14.46827021842658</v>
      </c>
      <c r="S273" s="121">
        <f t="shared" si="238"/>
        <v>14.46827021842658</v>
      </c>
      <c r="T273" s="121">
        <f t="shared" si="238"/>
        <v>14.46827021842658</v>
      </c>
      <c r="U273" s="121">
        <f t="shared" si="238"/>
        <v>14.46827021842658</v>
      </c>
      <c r="V273" s="121">
        <f t="shared" si="238"/>
        <v>14.46827021842658</v>
      </c>
      <c r="W273" s="121">
        <f t="shared" si="238"/>
        <v>14.46827021842658</v>
      </c>
      <c r="X273" s="121">
        <f t="shared" si="238"/>
        <v>14.46827021842658</v>
      </c>
      <c r="Y273" s="121">
        <f t="shared" si="238"/>
        <v>14.46827021842658</v>
      </c>
    </row>
    <row r="274" spans="5:25" x14ac:dyDescent="0.3">
      <c r="F274" s="28" t="s">
        <v>193</v>
      </c>
      <c r="G274" s="28" t="s">
        <v>283</v>
      </c>
      <c r="J274" s="121">
        <f t="shared" ref="J274:Y274" si="239">J231 * J$93</f>
        <v>24.330727394359741</v>
      </c>
      <c r="K274" s="121">
        <f t="shared" si="239"/>
        <v>24.330727394359741</v>
      </c>
      <c r="L274" s="121">
        <f t="shared" si="239"/>
        <v>22.049077258267864</v>
      </c>
      <c r="M274" s="121">
        <f t="shared" si="239"/>
        <v>22.049077258267864</v>
      </c>
      <c r="N274" s="121">
        <f t="shared" si="239"/>
        <v>16.234942549151263</v>
      </c>
      <c r="O274" s="121">
        <f t="shared" si="239"/>
        <v>16.05485045540258</v>
      </c>
      <c r="P274" s="121">
        <f t="shared" si="239"/>
        <v>14.700010659671024</v>
      </c>
      <c r="Q274" s="121">
        <f t="shared" si="239"/>
        <v>54.923589878690656</v>
      </c>
      <c r="R274" s="121">
        <f t="shared" si="239"/>
        <v>14.46827021842658</v>
      </c>
      <c r="S274" s="121">
        <f t="shared" si="239"/>
        <v>14.46827021842658</v>
      </c>
      <c r="T274" s="121">
        <f t="shared" si="239"/>
        <v>14.46827021842658</v>
      </c>
      <c r="U274" s="121">
        <f t="shared" si="239"/>
        <v>14.46827021842658</v>
      </c>
      <c r="V274" s="121">
        <f t="shared" si="239"/>
        <v>14.46827021842658</v>
      </c>
      <c r="W274" s="121">
        <f t="shared" si="239"/>
        <v>14.46827021842658</v>
      </c>
      <c r="X274" s="121">
        <f t="shared" si="239"/>
        <v>14.46827021842658</v>
      </c>
      <c r="Y274" s="121">
        <f t="shared" si="239"/>
        <v>14.46827021842658</v>
      </c>
    </row>
    <row r="275" spans="5:25" x14ac:dyDescent="0.3">
      <c r="F275" s="28" t="s">
        <v>194</v>
      </c>
      <c r="G275" s="28" t="s">
        <v>283</v>
      </c>
      <c r="J275" s="121">
        <f t="shared" ref="J275:Y275" si="240">J232 * J$93</f>
        <v>17.377662573562574</v>
      </c>
      <c r="K275" s="121">
        <f t="shared" si="240"/>
        <v>17.377662573562574</v>
      </c>
      <c r="L275" s="121">
        <f t="shared" si="240"/>
        <v>15.74804642878923</v>
      </c>
      <c r="M275" s="121">
        <f t="shared" si="240"/>
        <v>15.74804642878923</v>
      </c>
      <c r="N275" s="121">
        <f t="shared" si="240"/>
        <v>11.595434404715977</v>
      </c>
      <c r="O275" s="121">
        <f t="shared" si="240"/>
        <v>11.466807767846236</v>
      </c>
      <c r="P275" s="121">
        <f t="shared" si="240"/>
        <v>10.499144597327327</v>
      </c>
      <c r="Q275" s="121">
        <f t="shared" si="240"/>
        <v>34.134714042368934</v>
      </c>
      <c r="R275" s="121">
        <f t="shared" si="240"/>
        <v>10.333629315875939</v>
      </c>
      <c r="S275" s="121">
        <f t="shared" si="240"/>
        <v>10.333629315875939</v>
      </c>
      <c r="T275" s="121">
        <f t="shared" si="240"/>
        <v>10.333629315875939</v>
      </c>
      <c r="U275" s="121">
        <f t="shared" si="240"/>
        <v>10.333629315875939</v>
      </c>
      <c r="V275" s="121">
        <f t="shared" si="240"/>
        <v>10.333629315875939</v>
      </c>
      <c r="W275" s="121">
        <f t="shared" si="240"/>
        <v>10.333629315875939</v>
      </c>
      <c r="X275" s="121">
        <f t="shared" si="240"/>
        <v>10.333629315875939</v>
      </c>
      <c r="Y275" s="121">
        <f t="shared" si="240"/>
        <v>10.333629315875939</v>
      </c>
    </row>
    <row r="276" spans="5:25" x14ac:dyDescent="0.3">
      <c r="F276" s="28" t="s">
        <v>195</v>
      </c>
      <c r="G276" s="28" t="s">
        <v>283</v>
      </c>
      <c r="J276" s="121">
        <f t="shared" ref="J276:Y276" si="241">J233 * J$93</f>
        <v>17.377662573562574</v>
      </c>
      <c r="K276" s="121">
        <f t="shared" si="241"/>
        <v>17.377662573562574</v>
      </c>
      <c r="L276" s="121">
        <f t="shared" si="241"/>
        <v>15.74804642878923</v>
      </c>
      <c r="M276" s="121">
        <f t="shared" si="241"/>
        <v>15.74804642878923</v>
      </c>
      <c r="N276" s="121">
        <f t="shared" si="241"/>
        <v>11.595434404715977</v>
      </c>
      <c r="O276" s="121">
        <f t="shared" si="241"/>
        <v>11.466807767846236</v>
      </c>
      <c r="P276" s="121">
        <f t="shared" si="241"/>
        <v>10.499144597327327</v>
      </c>
      <c r="Q276" s="121">
        <f t="shared" si="241"/>
        <v>34.134714042368934</v>
      </c>
      <c r="R276" s="121">
        <f t="shared" si="241"/>
        <v>10.333629315875939</v>
      </c>
      <c r="S276" s="121">
        <f t="shared" si="241"/>
        <v>10.333629315875939</v>
      </c>
      <c r="T276" s="121">
        <f t="shared" si="241"/>
        <v>10.333629315875939</v>
      </c>
      <c r="U276" s="121">
        <f t="shared" si="241"/>
        <v>10.333629315875939</v>
      </c>
      <c r="V276" s="121">
        <f t="shared" si="241"/>
        <v>10.333629315875939</v>
      </c>
      <c r="W276" s="121">
        <f t="shared" si="241"/>
        <v>10.333629315875939</v>
      </c>
      <c r="X276" s="121">
        <f t="shared" si="241"/>
        <v>10.333629315875939</v>
      </c>
      <c r="Y276" s="121">
        <f t="shared" si="241"/>
        <v>10.333629315875939</v>
      </c>
    </row>
    <row r="277" spans="5:25" x14ac:dyDescent="0.3">
      <c r="F277" s="28" t="s">
        <v>196</v>
      </c>
      <c r="G277" s="28" t="s">
        <v>283</v>
      </c>
      <c r="J277" s="121">
        <f t="shared" ref="J277:Y277" si="242">J234 * J$93</f>
        <v>24.330727394359741</v>
      </c>
      <c r="K277" s="121">
        <f t="shared" si="242"/>
        <v>24.330727394359741</v>
      </c>
      <c r="L277" s="121">
        <f t="shared" si="242"/>
        <v>22.049077258267864</v>
      </c>
      <c r="M277" s="121">
        <f t="shared" si="242"/>
        <v>22.049077258267864</v>
      </c>
      <c r="N277" s="121">
        <f t="shared" si="242"/>
        <v>16.234942549151263</v>
      </c>
      <c r="O277" s="121">
        <f t="shared" si="242"/>
        <v>16.05485045540258</v>
      </c>
      <c r="P277" s="121">
        <f t="shared" si="242"/>
        <v>14.700010659671024</v>
      </c>
      <c r="Q277" s="121">
        <f t="shared" si="242"/>
        <v>54.923589878690656</v>
      </c>
      <c r="R277" s="121">
        <f t="shared" si="242"/>
        <v>14.46827021842658</v>
      </c>
      <c r="S277" s="121">
        <f t="shared" si="242"/>
        <v>14.46827021842658</v>
      </c>
      <c r="T277" s="121">
        <f t="shared" si="242"/>
        <v>14.46827021842658</v>
      </c>
      <c r="U277" s="121">
        <f t="shared" si="242"/>
        <v>14.46827021842658</v>
      </c>
      <c r="V277" s="121">
        <f t="shared" si="242"/>
        <v>14.46827021842658</v>
      </c>
      <c r="W277" s="121">
        <f t="shared" si="242"/>
        <v>14.46827021842658</v>
      </c>
      <c r="X277" s="121">
        <f t="shared" si="242"/>
        <v>14.46827021842658</v>
      </c>
      <c r="Y277" s="121">
        <f t="shared" si="242"/>
        <v>14.46827021842658</v>
      </c>
    </row>
    <row r="278" spans="5:25" x14ac:dyDescent="0.3">
      <c r="F278" s="28" t="s">
        <v>197</v>
      </c>
      <c r="G278" s="28" t="s">
        <v>283</v>
      </c>
      <c r="J278" s="121">
        <f t="shared" ref="J278:Y278" si="243">J235 * J$93</f>
        <v>17.377662573562574</v>
      </c>
      <c r="K278" s="121">
        <f t="shared" si="243"/>
        <v>17.377662573562574</v>
      </c>
      <c r="L278" s="121">
        <f t="shared" si="243"/>
        <v>15.74804642878923</v>
      </c>
      <c r="M278" s="121">
        <f t="shared" si="243"/>
        <v>15.74804642878923</v>
      </c>
      <c r="N278" s="121">
        <f t="shared" si="243"/>
        <v>11.595434404715977</v>
      </c>
      <c r="O278" s="121">
        <f t="shared" si="243"/>
        <v>11.466807767846236</v>
      </c>
      <c r="P278" s="121">
        <f t="shared" si="243"/>
        <v>10.499144597327327</v>
      </c>
      <c r="Q278" s="121">
        <f t="shared" si="243"/>
        <v>34.134714042368934</v>
      </c>
      <c r="R278" s="121">
        <f t="shared" si="243"/>
        <v>10.333629315875939</v>
      </c>
      <c r="S278" s="121">
        <f t="shared" si="243"/>
        <v>10.333629315875939</v>
      </c>
      <c r="T278" s="121">
        <f t="shared" si="243"/>
        <v>10.333629315875939</v>
      </c>
      <c r="U278" s="121">
        <f t="shared" si="243"/>
        <v>10.333629315875939</v>
      </c>
      <c r="V278" s="121">
        <f t="shared" si="243"/>
        <v>10.333629315875939</v>
      </c>
      <c r="W278" s="121">
        <f t="shared" si="243"/>
        <v>10.333629315875939</v>
      </c>
      <c r="X278" s="121">
        <f t="shared" si="243"/>
        <v>10.333629315875939</v>
      </c>
      <c r="Y278" s="121">
        <f t="shared" si="243"/>
        <v>10.333629315875939</v>
      </c>
    </row>
    <row r="279" spans="5:25" x14ac:dyDescent="0.3">
      <c r="F279" s="28" t="s">
        <v>198</v>
      </c>
      <c r="G279" s="28" t="s">
        <v>283</v>
      </c>
      <c r="J279" s="121">
        <f t="shared" ref="J279:Y279" si="244">J236 * J$93</f>
        <v>17.377662573562574</v>
      </c>
      <c r="K279" s="121">
        <f t="shared" si="244"/>
        <v>17.377662573562574</v>
      </c>
      <c r="L279" s="121">
        <f t="shared" si="244"/>
        <v>15.74804642878923</v>
      </c>
      <c r="M279" s="121">
        <f t="shared" si="244"/>
        <v>15.74804642878923</v>
      </c>
      <c r="N279" s="121">
        <f t="shared" si="244"/>
        <v>11.595434404715977</v>
      </c>
      <c r="O279" s="121">
        <f t="shared" si="244"/>
        <v>11.466807767846236</v>
      </c>
      <c r="P279" s="121">
        <f t="shared" si="244"/>
        <v>10.499144597327327</v>
      </c>
      <c r="Q279" s="121">
        <f t="shared" si="244"/>
        <v>34.134714042368934</v>
      </c>
      <c r="R279" s="121">
        <f t="shared" si="244"/>
        <v>10.333629315875939</v>
      </c>
      <c r="S279" s="121">
        <f t="shared" si="244"/>
        <v>10.333629315875939</v>
      </c>
      <c r="T279" s="121">
        <f t="shared" si="244"/>
        <v>10.333629315875939</v>
      </c>
      <c r="U279" s="121">
        <f t="shared" si="244"/>
        <v>10.333629315875939</v>
      </c>
      <c r="V279" s="121">
        <f t="shared" si="244"/>
        <v>10.333629315875939</v>
      </c>
      <c r="W279" s="121">
        <f t="shared" si="244"/>
        <v>10.333629315875939</v>
      </c>
      <c r="X279" s="121">
        <f t="shared" si="244"/>
        <v>10.333629315875939</v>
      </c>
      <c r="Y279" s="121">
        <f t="shared" si="244"/>
        <v>10.333629315875939</v>
      </c>
    </row>
    <row r="280" spans="5:25" x14ac:dyDescent="0.3">
      <c r="F280" s="67" t="s">
        <v>199</v>
      </c>
      <c r="G280" s="67" t="s">
        <v>283</v>
      </c>
      <c r="H280" s="37"/>
      <c r="I280" s="37"/>
      <c r="J280" s="131">
        <f t="shared" ref="J280:Y280" si="245">J237 * J$93</f>
        <v>17.377662573562574</v>
      </c>
      <c r="K280" s="131">
        <f t="shared" si="245"/>
        <v>17.377662573562574</v>
      </c>
      <c r="L280" s="131">
        <f t="shared" si="245"/>
        <v>15.74804642878923</v>
      </c>
      <c r="M280" s="131">
        <f t="shared" si="245"/>
        <v>15.74804642878923</v>
      </c>
      <c r="N280" s="131">
        <f t="shared" si="245"/>
        <v>11.595434404715977</v>
      </c>
      <c r="O280" s="131">
        <f t="shared" si="245"/>
        <v>11.466807767846236</v>
      </c>
      <c r="P280" s="131">
        <f t="shared" si="245"/>
        <v>10.499144597327327</v>
      </c>
      <c r="Q280" s="131">
        <f t="shared" si="245"/>
        <v>34.134714042368934</v>
      </c>
      <c r="R280" s="131">
        <f t="shared" si="245"/>
        <v>10.333629315875939</v>
      </c>
      <c r="S280" s="131">
        <f t="shared" si="245"/>
        <v>10.333629315875939</v>
      </c>
      <c r="T280" s="131">
        <f t="shared" si="245"/>
        <v>10.333629315875939</v>
      </c>
      <c r="U280" s="131">
        <f t="shared" si="245"/>
        <v>10.333629315875939</v>
      </c>
      <c r="V280" s="131">
        <f t="shared" si="245"/>
        <v>10.333629315875939</v>
      </c>
      <c r="W280" s="131">
        <f t="shared" si="245"/>
        <v>10.333629315875939</v>
      </c>
      <c r="X280" s="131">
        <f t="shared" si="245"/>
        <v>10.333629315875939</v>
      </c>
      <c r="Y280" s="131">
        <f t="shared" si="245"/>
        <v>10.333629315875939</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0.55741103557975957</v>
      </c>
      <c r="K283" s="101">
        <f t="shared" ref="K283:Y283" si="246">K240 * K$93</f>
        <v>0.55741103557975957</v>
      </c>
      <c r="L283" s="101">
        <f t="shared" si="246"/>
        <v>0.50513898696503134</v>
      </c>
      <c r="M283" s="101">
        <f t="shared" si="246"/>
        <v>0.50513898696503134</v>
      </c>
      <c r="N283" s="101">
        <f t="shared" si="246"/>
        <v>0.37193857759460719</v>
      </c>
      <c r="O283" s="101">
        <f t="shared" si="246"/>
        <v>0.36781271161250545</v>
      </c>
      <c r="P283" s="101">
        <f t="shared" si="246"/>
        <v>0.33677366204596992</v>
      </c>
      <c r="Q283" s="101">
        <f t="shared" si="246"/>
        <v>1.0245077640769706</v>
      </c>
      <c r="R283" s="101">
        <f t="shared" si="246"/>
        <v>0.33146454500865025</v>
      </c>
      <c r="S283" s="101">
        <f t="shared" si="246"/>
        <v>0.33146454500865025</v>
      </c>
      <c r="T283" s="101">
        <f t="shared" si="246"/>
        <v>0.33146454500865025</v>
      </c>
      <c r="U283" s="101">
        <f t="shared" si="246"/>
        <v>0.33146454500865025</v>
      </c>
      <c r="V283" s="101">
        <f t="shared" si="246"/>
        <v>0.33146454500865025</v>
      </c>
      <c r="W283" s="101">
        <f t="shared" si="246"/>
        <v>0.33146454500865025</v>
      </c>
      <c r="X283" s="101">
        <f t="shared" si="246"/>
        <v>0.33146454500865025</v>
      </c>
      <c r="Y283" s="101">
        <f t="shared" si="246"/>
        <v>0.33146454500865025</v>
      </c>
    </row>
    <row r="284" spans="5:25" x14ac:dyDescent="0.3">
      <c r="F284" s="28" t="s">
        <v>192</v>
      </c>
      <c r="G284" s="28" t="s">
        <v>283</v>
      </c>
      <c r="J284" s="121">
        <f t="shared" ref="J284:Y284" si="247">J241 * J$93</f>
        <v>0.51718214809225938</v>
      </c>
      <c r="K284" s="121">
        <f t="shared" si="247"/>
        <v>0.51718214809225938</v>
      </c>
      <c r="L284" s="121">
        <f t="shared" si="247"/>
        <v>0.46868262321358506</v>
      </c>
      <c r="M284" s="121">
        <f t="shared" si="247"/>
        <v>0.46868262321358506</v>
      </c>
      <c r="N284" s="121">
        <f t="shared" si="247"/>
        <v>0.34509541476638705</v>
      </c>
      <c r="O284" s="121">
        <f t="shared" si="247"/>
        <v>0.34126731647776098</v>
      </c>
      <c r="P284" s="121">
        <f t="shared" si="247"/>
        <v>0.31246838480094818</v>
      </c>
      <c r="Q284" s="121">
        <f t="shared" si="247"/>
        <v>0.65420727178370852</v>
      </c>
      <c r="R284" s="121">
        <f t="shared" si="247"/>
        <v>0.30754243181729701</v>
      </c>
      <c r="S284" s="121">
        <f t="shared" si="247"/>
        <v>0.30754243181729701</v>
      </c>
      <c r="T284" s="121">
        <f t="shared" si="247"/>
        <v>0.30754243181729701</v>
      </c>
      <c r="U284" s="121">
        <f t="shared" si="247"/>
        <v>0.30754243181729701</v>
      </c>
      <c r="V284" s="121">
        <f t="shared" si="247"/>
        <v>0.30754243181729701</v>
      </c>
      <c r="W284" s="121">
        <f t="shared" si="247"/>
        <v>0.30754243181729701</v>
      </c>
      <c r="X284" s="121">
        <f t="shared" si="247"/>
        <v>0.30754243181729701</v>
      </c>
      <c r="Y284" s="121">
        <f t="shared" si="247"/>
        <v>0.30754243181729701</v>
      </c>
    </row>
    <row r="285" spans="5:25" x14ac:dyDescent="0.3">
      <c r="F285" s="28" t="s">
        <v>193</v>
      </c>
      <c r="G285" s="28" t="s">
        <v>283</v>
      </c>
      <c r="J285" s="121">
        <f t="shared" ref="J285:Y285" si="248">J242 * J$93</f>
        <v>0.51718214809225938</v>
      </c>
      <c r="K285" s="121">
        <f t="shared" si="248"/>
        <v>0.51718214809225938</v>
      </c>
      <c r="L285" s="121">
        <f t="shared" si="248"/>
        <v>0.46868262321358506</v>
      </c>
      <c r="M285" s="121">
        <f t="shared" si="248"/>
        <v>0.46868262321358506</v>
      </c>
      <c r="N285" s="121">
        <f t="shared" si="248"/>
        <v>0.34509541476638705</v>
      </c>
      <c r="O285" s="121">
        <f t="shared" si="248"/>
        <v>0.34126731647776098</v>
      </c>
      <c r="P285" s="121">
        <f t="shared" si="248"/>
        <v>0.31246838480094818</v>
      </c>
      <c r="Q285" s="121">
        <f t="shared" si="248"/>
        <v>0.65420727178370852</v>
      </c>
      <c r="R285" s="121">
        <f t="shared" si="248"/>
        <v>0.30754243181729701</v>
      </c>
      <c r="S285" s="121">
        <f t="shared" si="248"/>
        <v>0.30754243181729701</v>
      </c>
      <c r="T285" s="121">
        <f t="shared" si="248"/>
        <v>0.30754243181729701</v>
      </c>
      <c r="U285" s="121">
        <f t="shared" si="248"/>
        <v>0.30754243181729701</v>
      </c>
      <c r="V285" s="121">
        <f t="shared" si="248"/>
        <v>0.30754243181729701</v>
      </c>
      <c r="W285" s="121">
        <f t="shared" si="248"/>
        <v>0.30754243181729701</v>
      </c>
      <c r="X285" s="121">
        <f t="shared" si="248"/>
        <v>0.30754243181729701</v>
      </c>
      <c r="Y285" s="121">
        <f t="shared" si="248"/>
        <v>0.30754243181729701</v>
      </c>
    </row>
    <row r="286" spans="5:25" x14ac:dyDescent="0.3">
      <c r="F286" s="28" t="s">
        <v>194</v>
      </c>
      <c r="G286" s="28" t="s">
        <v>283</v>
      </c>
      <c r="J286" s="121">
        <f t="shared" ref="J286:Y286" si="249">J243 * J$93</f>
        <v>1.4470085088521996</v>
      </c>
      <c r="K286" s="121">
        <f t="shared" si="249"/>
        <v>1.4470085088521996</v>
      </c>
      <c r="L286" s="121">
        <f t="shared" si="249"/>
        <v>1.3113131345365889</v>
      </c>
      <c r="M286" s="121">
        <f t="shared" si="249"/>
        <v>1.3113131345365889</v>
      </c>
      <c r="N286" s="121">
        <f t="shared" si="249"/>
        <v>0.96553216961340604</v>
      </c>
      <c r="O286" s="121">
        <f t="shared" si="249"/>
        <v>0.95482164757238552</v>
      </c>
      <c r="P286" s="121">
        <f t="shared" si="249"/>
        <v>0.87424597546939675</v>
      </c>
      <c r="Q286" s="121">
        <f t="shared" si="249"/>
        <v>1.3988458803739743</v>
      </c>
      <c r="R286" s="121">
        <f t="shared" si="249"/>
        <v>0.86046379851715293</v>
      </c>
      <c r="S286" s="121">
        <f t="shared" si="249"/>
        <v>0.86046379851715293</v>
      </c>
      <c r="T286" s="121">
        <f t="shared" si="249"/>
        <v>0.86046379851715293</v>
      </c>
      <c r="U286" s="121">
        <f t="shared" si="249"/>
        <v>0.86046379851715293</v>
      </c>
      <c r="V286" s="121">
        <f t="shared" si="249"/>
        <v>0.86046379851715293</v>
      </c>
      <c r="W286" s="121">
        <f t="shared" si="249"/>
        <v>0.86046379851715293</v>
      </c>
      <c r="X286" s="121">
        <f t="shared" si="249"/>
        <v>0.86046379851715293</v>
      </c>
      <c r="Y286" s="121">
        <f t="shared" si="249"/>
        <v>0.86046379851715293</v>
      </c>
    </row>
    <row r="287" spans="5:25" x14ac:dyDescent="0.3">
      <c r="F287" s="28" t="s">
        <v>195</v>
      </c>
      <c r="G287" s="28" t="s">
        <v>283</v>
      </c>
      <c r="J287" s="121">
        <f t="shared" ref="J287:Y287" si="250">J244 * J$93</f>
        <v>1.4470085088521996</v>
      </c>
      <c r="K287" s="121">
        <f t="shared" si="250"/>
        <v>1.4470085088521996</v>
      </c>
      <c r="L287" s="121">
        <f t="shared" si="250"/>
        <v>1.3113131345365889</v>
      </c>
      <c r="M287" s="121">
        <f t="shared" si="250"/>
        <v>1.3113131345365889</v>
      </c>
      <c r="N287" s="121">
        <f t="shared" si="250"/>
        <v>0.96553216961340604</v>
      </c>
      <c r="O287" s="121">
        <f t="shared" si="250"/>
        <v>0.95482164757238552</v>
      </c>
      <c r="P287" s="121">
        <f t="shared" si="250"/>
        <v>0.87424597546939675</v>
      </c>
      <c r="Q287" s="121">
        <f t="shared" si="250"/>
        <v>1.3988458803739743</v>
      </c>
      <c r="R287" s="121">
        <f t="shared" si="250"/>
        <v>0.86046379851715293</v>
      </c>
      <c r="S287" s="121">
        <f t="shared" si="250"/>
        <v>0.86046379851715293</v>
      </c>
      <c r="T287" s="121">
        <f t="shared" si="250"/>
        <v>0.86046379851715293</v>
      </c>
      <c r="U287" s="121">
        <f t="shared" si="250"/>
        <v>0.86046379851715293</v>
      </c>
      <c r="V287" s="121">
        <f t="shared" si="250"/>
        <v>0.86046379851715293</v>
      </c>
      <c r="W287" s="121">
        <f t="shared" si="250"/>
        <v>0.86046379851715293</v>
      </c>
      <c r="X287" s="121">
        <f t="shared" si="250"/>
        <v>0.86046379851715293</v>
      </c>
      <c r="Y287" s="121">
        <f t="shared" si="250"/>
        <v>0.86046379851715293</v>
      </c>
    </row>
    <row r="288" spans="5:25" x14ac:dyDescent="0.3">
      <c r="F288" s="28" t="s">
        <v>196</v>
      </c>
      <c r="G288" s="28" t="s">
        <v>283</v>
      </c>
      <c r="J288" s="121">
        <f t="shared" ref="J288:Y288" si="251">J245 * J$93</f>
        <v>0.51718214809225938</v>
      </c>
      <c r="K288" s="121">
        <f t="shared" si="251"/>
        <v>0.51718214809225938</v>
      </c>
      <c r="L288" s="121">
        <f t="shared" si="251"/>
        <v>0.46868262321358506</v>
      </c>
      <c r="M288" s="121">
        <f t="shared" si="251"/>
        <v>0.46868262321358506</v>
      </c>
      <c r="N288" s="121">
        <f t="shared" si="251"/>
        <v>0.34509541476638705</v>
      </c>
      <c r="O288" s="121">
        <f t="shared" si="251"/>
        <v>0.34126731647776098</v>
      </c>
      <c r="P288" s="121">
        <f t="shared" si="251"/>
        <v>0.31246838480094818</v>
      </c>
      <c r="Q288" s="121">
        <f t="shared" si="251"/>
        <v>0.65420727178370852</v>
      </c>
      <c r="R288" s="121">
        <f t="shared" si="251"/>
        <v>0.30754243181729701</v>
      </c>
      <c r="S288" s="121">
        <f t="shared" si="251"/>
        <v>0.30754243181729701</v>
      </c>
      <c r="T288" s="121">
        <f t="shared" si="251"/>
        <v>0.30754243181729701</v>
      </c>
      <c r="U288" s="121">
        <f t="shared" si="251"/>
        <v>0.30754243181729701</v>
      </c>
      <c r="V288" s="121">
        <f t="shared" si="251"/>
        <v>0.30754243181729701</v>
      </c>
      <c r="W288" s="121">
        <f t="shared" si="251"/>
        <v>0.30754243181729701</v>
      </c>
      <c r="X288" s="121">
        <f t="shared" si="251"/>
        <v>0.30754243181729701</v>
      </c>
      <c r="Y288" s="121">
        <f t="shared" si="251"/>
        <v>0.30754243181729701</v>
      </c>
    </row>
    <row r="289" spans="2:27" x14ac:dyDescent="0.3">
      <c r="F289" s="28" t="s">
        <v>197</v>
      </c>
      <c r="G289" s="28" t="s">
        <v>283</v>
      </c>
      <c r="J289" s="121">
        <f t="shared" ref="J289:Y289" si="252">J246 * J$93</f>
        <v>1.4470085088521996</v>
      </c>
      <c r="K289" s="121">
        <f t="shared" si="252"/>
        <v>1.4470085088521996</v>
      </c>
      <c r="L289" s="121">
        <f t="shared" si="252"/>
        <v>1.3113131345365889</v>
      </c>
      <c r="M289" s="121">
        <f t="shared" si="252"/>
        <v>1.3113131345365889</v>
      </c>
      <c r="N289" s="121">
        <f t="shared" si="252"/>
        <v>0.96553216961340604</v>
      </c>
      <c r="O289" s="121">
        <f t="shared" si="252"/>
        <v>0.95482164757238552</v>
      </c>
      <c r="P289" s="121">
        <f t="shared" si="252"/>
        <v>0.87424597546939675</v>
      </c>
      <c r="Q289" s="121">
        <f t="shared" si="252"/>
        <v>1.3988458803739743</v>
      </c>
      <c r="R289" s="121">
        <f t="shared" si="252"/>
        <v>0.86046379851715293</v>
      </c>
      <c r="S289" s="121">
        <f t="shared" si="252"/>
        <v>0.86046379851715293</v>
      </c>
      <c r="T289" s="121">
        <f t="shared" si="252"/>
        <v>0.86046379851715293</v>
      </c>
      <c r="U289" s="121">
        <f t="shared" si="252"/>
        <v>0.86046379851715293</v>
      </c>
      <c r="V289" s="121">
        <f t="shared" si="252"/>
        <v>0.86046379851715293</v>
      </c>
      <c r="W289" s="121">
        <f t="shared" si="252"/>
        <v>0.86046379851715293</v>
      </c>
      <c r="X289" s="121">
        <f t="shared" si="252"/>
        <v>0.86046379851715293</v>
      </c>
      <c r="Y289" s="121">
        <f t="shared" si="252"/>
        <v>0.86046379851715293</v>
      </c>
    </row>
    <row r="290" spans="2:27" x14ac:dyDescent="0.3">
      <c r="F290" s="28" t="s">
        <v>198</v>
      </c>
      <c r="G290" s="28" t="s">
        <v>283</v>
      </c>
      <c r="J290" s="121">
        <f t="shared" ref="J290:Y290" si="253">J247 * J$93</f>
        <v>1.4470085088521996</v>
      </c>
      <c r="K290" s="121">
        <f t="shared" si="253"/>
        <v>1.4470085088521996</v>
      </c>
      <c r="L290" s="121">
        <f t="shared" si="253"/>
        <v>1.3113131345365889</v>
      </c>
      <c r="M290" s="121">
        <f t="shared" si="253"/>
        <v>1.3113131345365889</v>
      </c>
      <c r="N290" s="121">
        <f t="shared" si="253"/>
        <v>0.96553216961340604</v>
      </c>
      <c r="O290" s="121">
        <f t="shared" si="253"/>
        <v>0.95482164757238552</v>
      </c>
      <c r="P290" s="121">
        <f t="shared" si="253"/>
        <v>0.87424597546939675</v>
      </c>
      <c r="Q290" s="121">
        <f t="shared" si="253"/>
        <v>1.3988458803739743</v>
      </c>
      <c r="R290" s="121">
        <f t="shared" si="253"/>
        <v>0.86046379851715293</v>
      </c>
      <c r="S290" s="121">
        <f t="shared" si="253"/>
        <v>0.86046379851715293</v>
      </c>
      <c r="T290" s="121">
        <f t="shared" si="253"/>
        <v>0.86046379851715293</v>
      </c>
      <c r="U290" s="121">
        <f t="shared" si="253"/>
        <v>0.86046379851715293</v>
      </c>
      <c r="V290" s="121">
        <f t="shared" si="253"/>
        <v>0.86046379851715293</v>
      </c>
      <c r="W290" s="121">
        <f t="shared" si="253"/>
        <v>0.86046379851715293</v>
      </c>
      <c r="X290" s="121">
        <f t="shared" si="253"/>
        <v>0.86046379851715293</v>
      </c>
      <c r="Y290" s="121">
        <f t="shared" si="253"/>
        <v>0.86046379851715293</v>
      </c>
    </row>
    <row r="291" spans="2:27" x14ac:dyDescent="0.3">
      <c r="F291" s="67" t="s">
        <v>199</v>
      </c>
      <c r="G291" s="67" t="s">
        <v>283</v>
      </c>
      <c r="H291" s="37"/>
      <c r="I291" s="37"/>
      <c r="J291" s="131">
        <f t="shared" ref="J291:Y291" si="254">J248 * J$93</f>
        <v>1.4470085088521996</v>
      </c>
      <c r="K291" s="131">
        <f t="shared" si="254"/>
        <v>1.4470085088521996</v>
      </c>
      <c r="L291" s="131">
        <f t="shared" si="254"/>
        <v>1.3113131345365889</v>
      </c>
      <c r="M291" s="131">
        <f t="shared" si="254"/>
        <v>1.3113131345365889</v>
      </c>
      <c r="N291" s="131">
        <f t="shared" si="254"/>
        <v>0.96553216961340604</v>
      </c>
      <c r="O291" s="131">
        <f t="shared" si="254"/>
        <v>0.95482164757238552</v>
      </c>
      <c r="P291" s="131">
        <f t="shared" si="254"/>
        <v>0.87424597546939675</v>
      </c>
      <c r="Q291" s="131">
        <f t="shared" si="254"/>
        <v>1.3988458803739743</v>
      </c>
      <c r="R291" s="131">
        <f t="shared" si="254"/>
        <v>0.86046379851715293</v>
      </c>
      <c r="S291" s="131">
        <f t="shared" si="254"/>
        <v>0.86046379851715293</v>
      </c>
      <c r="T291" s="131">
        <f t="shared" si="254"/>
        <v>0.86046379851715293</v>
      </c>
      <c r="U291" s="131">
        <f t="shared" si="254"/>
        <v>0.86046379851715293</v>
      </c>
      <c r="V291" s="131">
        <f t="shared" si="254"/>
        <v>0.86046379851715293</v>
      </c>
      <c r="W291" s="131">
        <f t="shared" si="254"/>
        <v>0.86046379851715293</v>
      </c>
      <c r="X291" s="131">
        <f t="shared" si="254"/>
        <v>0.86046379851715293</v>
      </c>
      <c r="Y291" s="131">
        <f t="shared" si="254"/>
        <v>0.86046379851715293</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192</v>
      </c>
      <c r="G295" s="28" t="s">
        <v>283</v>
      </c>
      <c r="J295" s="121">
        <f t="shared" ref="J295:Y295" si="256">J252 * J$93</f>
        <v>5.2051800034248696E-2</v>
      </c>
      <c r="K295" s="121">
        <f t="shared" si="256"/>
        <v>5.2051800034248696E-2</v>
      </c>
      <c r="L295" s="121">
        <f t="shared" si="256"/>
        <v>4.717056509593353E-2</v>
      </c>
      <c r="M295" s="121">
        <f t="shared" si="256"/>
        <v>4.717056509593353E-2</v>
      </c>
      <c r="N295" s="121">
        <f t="shared" si="256"/>
        <v>3.4732129847126376E-2</v>
      </c>
      <c r="O295" s="121">
        <f t="shared" si="256"/>
        <v>3.4346850874590246E-2</v>
      </c>
      <c r="P295" s="121">
        <f t="shared" si="256"/>
        <v>3.1448382243430072E-2</v>
      </c>
      <c r="Q295" s="121">
        <f t="shared" si="256"/>
        <v>3.8974767240262574E-2</v>
      </c>
      <c r="R295" s="121">
        <f t="shared" si="256"/>
        <v>3.0952609679297825E-2</v>
      </c>
      <c r="S295" s="121">
        <f t="shared" si="256"/>
        <v>3.0952609679297825E-2</v>
      </c>
      <c r="T295" s="121">
        <f t="shared" si="256"/>
        <v>3.0952609679297825E-2</v>
      </c>
      <c r="U295" s="121">
        <f t="shared" si="256"/>
        <v>3.0952609679297825E-2</v>
      </c>
      <c r="V295" s="121">
        <f t="shared" si="256"/>
        <v>3.0952609679297825E-2</v>
      </c>
      <c r="W295" s="121">
        <f t="shared" si="256"/>
        <v>3.0952609679297825E-2</v>
      </c>
      <c r="X295" s="121">
        <f t="shared" si="256"/>
        <v>3.0952609679297825E-2</v>
      </c>
      <c r="Y295" s="121">
        <f t="shared" si="256"/>
        <v>3.0952609679297825E-2</v>
      </c>
    </row>
    <row r="296" spans="2:27" x14ac:dyDescent="0.3">
      <c r="F296" s="28" t="s">
        <v>193</v>
      </c>
      <c r="G296" s="28" t="s">
        <v>283</v>
      </c>
      <c r="J296" s="121">
        <f t="shared" ref="J296:Y296" si="257">J253 * J$93</f>
        <v>5.2051800034248696E-2</v>
      </c>
      <c r="K296" s="121">
        <f t="shared" si="257"/>
        <v>5.2051800034248696E-2</v>
      </c>
      <c r="L296" s="121">
        <f t="shared" si="257"/>
        <v>4.717056509593353E-2</v>
      </c>
      <c r="M296" s="121">
        <f t="shared" si="257"/>
        <v>4.717056509593353E-2</v>
      </c>
      <c r="N296" s="121">
        <f t="shared" si="257"/>
        <v>3.4732129847126376E-2</v>
      </c>
      <c r="O296" s="121">
        <f t="shared" si="257"/>
        <v>3.4346850874590246E-2</v>
      </c>
      <c r="P296" s="121">
        <f t="shared" si="257"/>
        <v>3.1448382243430072E-2</v>
      </c>
      <c r="Q296" s="121">
        <f t="shared" si="257"/>
        <v>3.8974767240262574E-2</v>
      </c>
      <c r="R296" s="121">
        <f t="shared" si="257"/>
        <v>3.0952609679297825E-2</v>
      </c>
      <c r="S296" s="121">
        <f t="shared" si="257"/>
        <v>3.0952609679297825E-2</v>
      </c>
      <c r="T296" s="121">
        <f t="shared" si="257"/>
        <v>3.0952609679297825E-2</v>
      </c>
      <c r="U296" s="121">
        <f t="shared" si="257"/>
        <v>3.0952609679297825E-2</v>
      </c>
      <c r="V296" s="121">
        <f t="shared" si="257"/>
        <v>3.0952609679297825E-2</v>
      </c>
      <c r="W296" s="121">
        <f t="shared" si="257"/>
        <v>3.0952609679297825E-2</v>
      </c>
      <c r="X296" s="121">
        <f t="shared" si="257"/>
        <v>3.0952609679297825E-2</v>
      </c>
      <c r="Y296" s="121">
        <f t="shared" si="257"/>
        <v>3.0952609679297825E-2</v>
      </c>
    </row>
    <row r="297" spans="2:27" x14ac:dyDescent="0.3">
      <c r="F297" s="28" t="s">
        <v>194</v>
      </c>
      <c r="G297" s="28" t="s">
        <v>283</v>
      </c>
      <c r="J297" s="121">
        <f t="shared" ref="J297:Y297" si="258">J254 * J$93</f>
        <v>0.14115856891178019</v>
      </c>
      <c r="K297" s="121">
        <f t="shared" si="258"/>
        <v>0.14115856891178019</v>
      </c>
      <c r="L297" s="121">
        <f t="shared" si="258"/>
        <v>0.1279212142389084</v>
      </c>
      <c r="M297" s="121">
        <f t="shared" si="258"/>
        <v>0.1279212142389084</v>
      </c>
      <c r="N297" s="121">
        <f t="shared" si="258"/>
        <v>9.4189590777890783E-2</v>
      </c>
      <c r="O297" s="121">
        <f t="shared" si="258"/>
        <v>9.3144757969818498E-2</v>
      </c>
      <c r="P297" s="121">
        <f t="shared" si="258"/>
        <v>8.5284440291254995E-2</v>
      </c>
      <c r="Q297" s="121">
        <f t="shared" si="258"/>
        <v>0.10569514144919633</v>
      </c>
      <c r="R297" s="121">
        <f t="shared" si="258"/>
        <v>8.3939961414202055E-2</v>
      </c>
      <c r="S297" s="121">
        <f t="shared" si="258"/>
        <v>8.3939961414202055E-2</v>
      </c>
      <c r="T297" s="121">
        <f t="shared" si="258"/>
        <v>8.3939961414202055E-2</v>
      </c>
      <c r="U297" s="121">
        <f t="shared" si="258"/>
        <v>8.3939961414202055E-2</v>
      </c>
      <c r="V297" s="121">
        <f t="shared" si="258"/>
        <v>8.3939961414202055E-2</v>
      </c>
      <c r="W297" s="121">
        <f t="shared" si="258"/>
        <v>8.3939961414202055E-2</v>
      </c>
      <c r="X297" s="121">
        <f t="shared" si="258"/>
        <v>8.3939961414202055E-2</v>
      </c>
      <c r="Y297" s="121">
        <f t="shared" si="258"/>
        <v>8.3939961414202055E-2</v>
      </c>
    </row>
    <row r="298" spans="2:27" x14ac:dyDescent="0.3">
      <c r="F298" s="28" t="s">
        <v>195</v>
      </c>
      <c r="G298" s="28" t="s">
        <v>283</v>
      </c>
      <c r="J298" s="121">
        <f t="shared" ref="J298:Y298" si="259">J255 * J$93</f>
        <v>0.14115856891178019</v>
      </c>
      <c r="K298" s="121">
        <f t="shared" si="259"/>
        <v>0.14115856891178019</v>
      </c>
      <c r="L298" s="121">
        <f t="shared" si="259"/>
        <v>0.1279212142389084</v>
      </c>
      <c r="M298" s="121">
        <f t="shared" si="259"/>
        <v>0.1279212142389084</v>
      </c>
      <c r="N298" s="121">
        <f t="shared" si="259"/>
        <v>9.4189590777890783E-2</v>
      </c>
      <c r="O298" s="121">
        <f t="shared" si="259"/>
        <v>9.3144757969818498E-2</v>
      </c>
      <c r="P298" s="121">
        <f t="shared" si="259"/>
        <v>8.5284440291254995E-2</v>
      </c>
      <c r="Q298" s="121">
        <f t="shared" si="259"/>
        <v>0.10569514144919633</v>
      </c>
      <c r="R298" s="121">
        <f t="shared" si="259"/>
        <v>8.3939961414202055E-2</v>
      </c>
      <c r="S298" s="121">
        <f t="shared" si="259"/>
        <v>8.3939961414202055E-2</v>
      </c>
      <c r="T298" s="121">
        <f t="shared" si="259"/>
        <v>8.3939961414202055E-2</v>
      </c>
      <c r="U298" s="121">
        <f t="shared" si="259"/>
        <v>8.3939961414202055E-2</v>
      </c>
      <c r="V298" s="121">
        <f t="shared" si="259"/>
        <v>8.3939961414202055E-2</v>
      </c>
      <c r="W298" s="121">
        <f t="shared" si="259"/>
        <v>8.3939961414202055E-2</v>
      </c>
      <c r="X298" s="121">
        <f t="shared" si="259"/>
        <v>8.3939961414202055E-2</v>
      </c>
      <c r="Y298" s="121">
        <f t="shared" si="259"/>
        <v>8.3939961414202055E-2</v>
      </c>
    </row>
    <row r="299" spans="2:27" x14ac:dyDescent="0.3">
      <c r="F299" s="28" t="s">
        <v>196</v>
      </c>
      <c r="G299" s="28" t="s">
        <v>283</v>
      </c>
      <c r="J299" s="121">
        <f t="shared" ref="J299:Y299" si="260">J256 * J$93</f>
        <v>5.2051800034248696E-2</v>
      </c>
      <c r="K299" s="121">
        <f t="shared" si="260"/>
        <v>5.2051800034248696E-2</v>
      </c>
      <c r="L299" s="121">
        <f t="shared" si="260"/>
        <v>4.717056509593353E-2</v>
      </c>
      <c r="M299" s="121">
        <f t="shared" si="260"/>
        <v>4.717056509593353E-2</v>
      </c>
      <c r="N299" s="121">
        <f t="shared" si="260"/>
        <v>3.4732129847126376E-2</v>
      </c>
      <c r="O299" s="121">
        <f t="shared" si="260"/>
        <v>3.4346850874590246E-2</v>
      </c>
      <c r="P299" s="121">
        <f t="shared" si="260"/>
        <v>3.1448382243430072E-2</v>
      </c>
      <c r="Q299" s="121">
        <f t="shared" si="260"/>
        <v>3.8974767240262574E-2</v>
      </c>
      <c r="R299" s="121">
        <f t="shared" si="260"/>
        <v>3.0952609679297825E-2</v>
      </c>
      <c r="S299" s="121">
        <f t="shared" si="260"/>
        <v>3.0952609679297825E-2</v>
      </c>
      <c r="T299" s="121">
        <f t="shared" si="260"/>
        <v>3.0952609679297825E-2</v>
      </c>
      <c r="U299" s="121">
        <f t="shared" si="260"/>
        <v>3.0952609679297825E-2</v>
      </c>
      <c r="V299" s="121">
        <f t="shared" si="260"/>
        <v>3.0952609679297825E-2</v>
      </c>
      <c r="W299" s="121">
        <f t="shared" si="260"/>
        <v>3.0952609679297825E-2</v>
      </c>
      <c r="X299" s="121">
        <f t="shared" si="260"/>
        <v>3.0952609679297825E-2</v>
      </c>
      <c r="Y299" s="121">
        <f t="shared" si="260"/>
        <v>3.0952609679297825E-2</v>
      </c>
    </row>
    <row r="300" spans="2:27" x14ac:dyDescent="0.3">
      <c r="F300" s="28" t="s">
        <v>197</v>
      </c>
      <c r="G300" s="28" t="s">
        <v>283</v>
      </c>
      <c r="J300" s="121">
        <f t="shared" ref="J300:Y300" si="261">J257 * J$93</f>
        <v>0.14115856891178019</v>
      </c>
      <c r="K300" s="121">
        <f t="shared" si="261"/>
        <v>0.14115856891178019</v>
      </c>
      <c r="L300" s="121">
        <f t="shared" si="261"/>
        <v>0.1279212142389084</v>
      </c>
      <c r="M300" s="121">
        <f t="shared" si="261"/>
        <v>0.1279212142389084</v>
      </c>
      <c r="N300" s="121">
        <f t="shared" si="261"/>
        <v>9.4189590777890783E-2</v>
      </c>
      <c r="O300" s="121">
        <f t="shared" si="261"/>
        <v>9.3144757969818498E-2</v>
      </c>
      <c r="P300" s="121">
        <f t="shared" si="261"/>
        <v>8.5284440291254995E-2</v>
      </c>
      <c r="Q300" s="121">
        <f t="shared" si="261"/>
        <v>0.10569514144919633</v>
      </c>
      <c r="R300" s="121">
        <f t="shared" si="261"/>
        <v>8.3939961414202055E-2</v>
      </c>
      <c r="S300" s="121">
        <f t="shared" si="261"/>
        <v>8.3939961414202055E-2</v>
      </c>
      <c r="T300" s="121">
        <f t="shared" si="261"/>
        <v>8.3939961414202055E-2</v>
      </c>
      <c r="U300" s="121">
        <f t="shared" si="261"/>
        <v>8.3939961414202055E-2</v>
      </c>
      <c r="V300" s="121">
        <f t="shared" si="261"/>
        <v>8.3939961414202055E-2</v>
      </c>
      <c r="W300" s="121">
        <f t="shared" si="261"/>
        <v>8.3939961414202055E-2</v>
      </c>
      <c r="X300" s="121">
        <f t="shared" si="261"/>
        <v>8.3939961414202055E-2</v>
      </c>
      <c r="Y300" s="121">
        <f t="shared" si="261"/>
        <v>8.3939961414202055E-2</v>
      </c>
    </row>
    <row r="301" spans="2:27" x14ac:dyDescent="0.3">
      <c r="F301" s="28" t="s">
        <v>198</v>
      </c>
      <c r="G301" s="28" t="s">
        <v>283</v>
      </c>
      <c r="J301" s="121">
        <f t="shared" ref="J301:Y301" si="262">J258 * J$93</f>
        <v>0.14115856891178019</v>
      </c>
      <c r="K301" s="121">
        <f t="shared" si="262"/>
        <v>0.14115856891178019</v>
      </c>
      <c r="L301" s="121">
        <f t="shared" si="262"/>
        <v>0.1279212142389084</v>
      </c>
      <c r="M301" s="121">
        <f t="shared" si="262"/>
        <v>0.1279212142389084</v>
      </c>
      <c r="N301" s="121">
        <f t="shared" si="262"/>
        <v>9.4189590777890783E-2</v>
      </c>
      <c r="O301" s="121">
        <f t="shared" si="262"/>
        <v>9.3144757969818498E-2</v>
      </c>
      <c r="P301" s="121">
        <f t="shared" si="262"/>
        <v>8.5284440291254995E-2</v>
      </c>
      <c r="Q301" s="121">
        <f t="shared" si="262"/>
        <v>0.10569514144919633</v>
      </c>
      <c r="R301" s="121">
        <f t="shared" si="262"/>
        <v>8.3939961414202055E-2</v>
      </c>
      <c r="S301" s="121">
        <f t="shared" si="262"/>
        <v>8.3939961414202055E-2</v>
      </c>
      <c r="T301" s="121">
        <f t="shared" si="262"/>
        <v>8.3939961414202055E-2</v>
      </c>
      <c r="U301" s="121">
        <f t="shared" si="262"/>
        <v>8.3939961414202055E-2</v>
      </c>
      <c r="V301" s="121">
        <f t="shared" si="262"/>
        <v>8.3939961414202055E-2</v>
      </c>
      <c r="W301" s="121">
        <f t="shared" si="262"/>
        <v>8.3939961414202055E-2</v>
      </c>
      <c r="X301" s="121">
        <f t="shared" si="262"/>
        <v>8.3939961414202055E-2</v>
      </c>
      <c r="Y301" s="121">
        <f t="shared" si="262"/>
        <v>8.3939961414202055E-2</v>
      </c>
    </row>
    <row r="302" spans="2:27" x14ac:dyDescent="0.3">
      <c r="F302" s="67" t="s">
        <v>199</v>
      </c>
      <c r="G302" s="67" t="s">
        <v>283</v>
      </c>
      <c r="H302" s="37"/>
      <c r="I302" s="37"/>
      <c r="J302" s="131">
        <f t="shared" ref="J302:Y302" si="263">J259 * J$93</f>
        <v>0.14115856891178019</v>
      </c>
      <c r="K302" s="131">
        <f t="shared" si="263"/>
        <v>0.14115856891178019</v>
      </c>
      <c r="L302" s="131">
        <f t="shared" si="263"/>
        <v>0.1279212142389084</v>
      </c>
      <c r="M302" s="131">
        <f t="shared" si="263"/>
        <v>0.1279212142389084</v>
      </c>
      <c r="N302" s="131">
        <f t="shared" si="263"/>
        <v>9.4189590777890783E-2</v>
      </c>
      <c r="O302" s="131">
        <f t="shared" si="263"/>
        <v>9.3144757969818498E-2</v>
      </c>
      <c r="P302" s="131">
        <f t="shared" si="263"/>
        <v>8.5284440291254995E-2</v>
      </c>
      <c r="Q302" s="131">
        <f t="shared" si="263"/>
        <v>0.10569514144919633</v>
      </c>
      <c r="R302" s="131">
        <f t="shared" si="263"/>
        <v>8.3939961414202055E-2</v>
      </c>
      <c r="S302" s="131">
        <f t="shared" si="263"/>
        <v>8.3939961414202055E-2</v>
      </c>
      <c r="T302" s="131">
        <f t="shared" si="263"/>
        <v>8.3939961414202055E-2</v>
      </c>
      <c r="U302" s="131">
        <f t="shared" si="263"/>
        <v>8.3939961414202055E-2</v>
      </c>
      <c r="V302" s="131">
        <f t="shared" si="263"/>
        <v>8.3939961414202055E-2</v>
      </c>
      <c r="W302" s="131">
        <f t="shared" si="263"/>
        <v>8.3939961414202055E-2</v>
      </c>
      <c r="X302" s="131">
        <f t="shared" si="263"/>
        <v>8.3939961414202055E-2</v>
      </c>
      <c r="Y302" s="131">
        <f t="shared" si="263"/>
        <v>8.3939961414202055E-2</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1.0609999999999999</v>
      </c>
      <c r="K34" s="124">
        <v>1.0609999999999999</v>
      </c>
      <c r="L34" s="124">
        <v>1.0609999999999999</v>
      </c>
      <c r="M34" s="124">
        <v>1.0609999999999999</v>
      </c>
      <c r="N34" s="124">
        <v>1.0609999999999999</v>
      </c>
      <c r="O34" s="124">
        <v>1.046</v>
      </c>
      <c r="P34" s="124">
        <v>1.0329999999999999</v>
      </c>
      <c r="Q34" s="124">
        <v>1.0609999999999999</v>
      </c>
      <c r="R34" s="124">
        <v>-1.0609999999999999</v>
      </c>
      <c r="S34" s="124">
        <v>-1.046</v>
      </c>
      <c r="T34" s="124">
        <v>-1.0609999999999999</v>
      </c>
      <c r="U34" s="124">
        <v>-1.0609999999999999</v>
      </c>
      <c r="V34" s="124">
        <v>-1.046</v>
      </c>
      <c r="W34" s="124">
        <v>-1.046</v>
      </c>
      <c r="X34" s="124">
        <v>-1.0329999999999999</v>
      </c>
      <c r="Y34" s="124">
        <v>-1.0329999999999999</v>
      </c>
      <c r="AQ34" s="3"/>
    </row>
    <row r="35" spans="5:43" x14ac:dyDescent="0.3">
      <c r="E35" s="32"/>
      <c r="F35" t="s">
        <v>192</v>
      </c>
      <c r="G35" t="s">
        <v>283</v>
      </c>
      <c r="H35" s="89"/>
      <c r="I35" s="89"/>
      <c r="J35" s="120">
        <v>1.0609999999999999</v>
      </c>
      <c r="K35" s="120">
        <v>1.0609999999999999</v>
      </c>
      <c r="L35" s="120">
        <v>1.0609999999999999</v>
      </c>
      <c r="M35" s="120">
        <v>1.0609999999999999</v>
      </c>
      <c r="N35" s="120">
        <v>1.0609999999999999</v>
      </c>
      <c r="O35" s="120">
        <v>1.046</v>
      </c>
      <c r="P35" s="120">
        <v>1.0329999999999999</v>
      </c>
      <c r="Q35" s="120">
        <v>1.0609999999999999</v>
      </c>
      <c r="R35" s="120">
        <v>-1.0609999999999999</v>
      </c>
      <c r="S35" s="120">
        <v>-1.046</v>
      </c>
      <c r="T35" s="120">
        <v>-1.0609999999999999</v>
      </c>
      <c r="U35" s="120">
        <v>-1.0609999999999999</v>
      </c>
      <c r="V35" s="120">
        <v>-1.046</v>
      </c>
      <c r="W35" s="120">
        <v>-1.046</v>
      </c>
      <c r="X35" s="120">
        <v>-1.0329999999999999</v>
      </c>
      <c r="Y35" s="120">
        <v>-1.0329999999999999</v>
      </c>
      <c r="AQ35" s="3"/>
    </row>
    <row r="36" spans="5:43" x14ac:dyDescent="0.3">
      <c r="E36" s="32"/>
      <c r="F36" t="s">
        <v>193</v>
      </c>
      <c r="G36" t="s">
        <v>283</v>
      </c>
      <c r="H36" s="89"/>
      <c r="I36" s="89"/>
      <c r="J36" s="120">
        <v>1.0609999999999999</v>
      </c>
      <c r="K36" s="120">
        <v>1.0609999999999999</v>
      </c>
      <c r="L36" s="120">
        <v>1.0609999999999999</v>
      </c>
      <c r="M36" s="120">
        <v>1.0609999999999999</v>
      </c>
      <c r="N36" s="120">
        <v>1.0609999999999999</v>
      </c>
      <c r="O36" s="120">
        <v>1.046</v>
      </c>
      <c r="P36" s="120">
        <v>1.0329999999999999</v>
      </c>
      <c r="Q36" s="120">
        <v>1.0609999999999999</v>
      </c>
      <c r="R36" s="120">
        <v>-1.0609999999999999</v>
      </c>
      <c r="S36" s="120">
        <v>-1.046</v>
      </c>
      <c r="T36" s="120">
        <v>-1.0609999999999999</v>
      </c>
      <c r="U36" s="120">
        <v>-1.0609999999999999</v>
      </c>
      <c r="V36" s="120">
        <v>-1.046</v>
      </c>
      <c r="W36" s="120">
        <v>-1.046</v>
      </c>
      <c r="X36" s="120">
        <v>-1.0329999999999999</v>
      </c>
      <c r="Y36" s="120">
        <v>-1.0329999999999999</v>
      </c>
      <c r="AQ36" s="3"/>
    </row>
    <row r="37" spans="5:43" x14ac:dyDescent="0.3">
      <c r="E37" s="32"/>
      <c r="F37" t="s">
        <v>194</v>
      </c>
      <c r="G37" t="s">
        <v>283</v>
      </c>
      <c r="H37" s="89"/>
      <c r="I37" s="89"/>
      <c r="J37" s="120">
        <v>1.0609999999999999</v>
      </c>
      <c r="K37" s="120">
        <v>1.0609999999999999</v>
      </c>
      <c r="L37" s="120">
        <v>1.0609999999999999</v>
      </c>
      <c r="M37" s="120">
        <v>1.0609999999999999</v>
      </c>
      <c r="N37" s="120">
        <v>1.0609999999999999</v>
      </c>
      <c r="O37" s="120">
        <v>1.046</v>
      </c>
      <c r="P37" s="120">
        <v>1.0329999999999999</v>
      </c>
      <c r="Q37" s="120">
        <v>1.0609999999999999</v>
      </c>
      <c r="R37" s="120">
        <v>-1.0609999999999999</v>
      </c>
      <c r="S37" s="120">
        <v>-1.046</v>
      </c>
      <c r="T37" s="120">
        <v>-1.0609999999999999</v>
      </c>
      <c r="U37" s="120">
        <v>-1.0609999999999999</v>
      </c>
      <c r="V37" s="120">
        <v>-1.046</v>
      </c>
      <c r="W37" s="120">
        <v>-1.046</v>
      </c>
      <c r="X37" s="120">
        <v>-1.0329999999999999</v>
      </c>
      <c r="Y37" s="120">
        <v>-1.0329999999999999</v>
      </c>
      <c r="AQ37" s="3"/>
    </row>
    <row r="38" spans="5:43" x14ac:dyDescent="0.3">
      <c r="E38" s="32"/>
      <c r="F38" t="s">
        <v>195</v>
      </c>
      <c r="G38" t="s">
        <v>283</v>
      </c>
      <c r="H38" s="89"/>
      <c r="I38" s="89"/>
      <c r="J38" s="120">
        <v>1.0609999999999999</v>
      </c>
      <c r="K38" s="120">
        <v>1.0609999999999999</v>
      </c>
      <c r="L38" s="120">
        <v>1.0609999999999999</v>
      </c>
      <c r="M38" s="120">
        <v>1.0609999999999999</v>
      </c>
      <c r="N38" s="120">
        <v>1.0609999999999999</v>
      </c>
      <c r="O38" s="120">
        <v>1.046</v>
      </c>
      <c r="P38" s="120">
        <v>1.0329999999999999</v>
      </c>
      <c r="Q38" s="120">
        <v>1.0609999999999999</v>
      </c>
      <c r="R38" s="120">
        <v>-1.0609999999999999</v>
      </c>
      <c r="S38" s="120">
        <v>-1.046</v>
      </c>
      <c r="T38" s="120">
        <v>-1.0609999999999999</v>
      </c>
      <c r="U38" s="120">
        <v>-1.0609999999999999</v>
      </c>
      <c r="V38" s="120">
        <v>-1.046</v>
      </c>
      <c r="W38" s="120">
        <v>-1.046</v>
      </c>
      <c r="X38" s="120">
        <v>-1.0329999999999999</v>
      </c>
      <c r="Y38" s="120">
        <v>-1.0329999999999999</v>
      </c>
      <c r="AQ38" s="3"/>
    </row>
    <row r="39" spans="5:43" x14ac:dyDescent="0.3">
      <c r="E39" s="32"/>
      <c r="F39" t="s">
        <v>196</v>
      </c>
      <c r="G39" t="s">
        <v>283</v>
      </c>
      <c r="H39" s="89"/>
      <c r="I39" s="89"/>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AQ39" s="3"/>
    </row>
    <row r="40" spans="5:43" x14ac:dyDescent="0.3">
      <c r="E40" s="32"/>
      <c r="F40" t="s">
        <v>197</v>
      </c>
      <c r="G40" t="s">
        <v>283</v>
      </c>
      <c r="H40" s="89"/>
      <c r="I40" s="89"/>
      <c r="J40" s="120">
        <v>1.0609999999999999</v>
      </c>
      <c r="K40" s="120">
        <v>1.0609999999999999</v>
      </c>
      <c r="L40" s="120">
        <v>1.0609999999999999</v>
      </c>
      <c r="M40" s="120">
        <v>1.0609999999999999</v>
      </c>
      <c r="N40" s="120">
        <v>1.0609999999999999</v>
      </c>
      <c r="O40" s="120">
        <v>1.046</v>
      </c>
      <c r="P40" s="120">
        <v>1.0329999999999999</v>
      </c>
      <c r="Q40" s="120">
        <v>1.0609999999999999</v>
      </c>
      <c r="R40" s="120">
        <v>-1.0609999999999999</v>
      </c>
      <c r="S40" s="120">
        <v>-1.046</v>
      </c>
      <c r="T40" s="120">
        <v>-1.0609999999999999</v>
      </c>
      <c r="U40" s="120">
        <v>-1.0609999999999999</v>
      </c>
      <c r="V40" s="120">
        <v>-1.046</v>
      </c>
      <c r="W40" s="120">
        <v>-1.046</v>
      </c>
      <c r="X40" s="120">
        <v>0</v>
      </c>
      <c r="Y40" s="120">
        <v>0</v>
      </c>
      <c r="AQ40" s="3"/>
    </row>
    <row r="41" spans="5:43" x14ac:dyDescent="0.3">
      <c r="E41" s="32"/>
      <c r="F41" t="s">
        <v>198</v>
      </c>
      <c r="G41" t="s">
        <v>283</v>
      </c>
      <c r="H41" s="89"/>
      <c r="I41" s="89"/>
      <c r="J41" s="120">
        <v>1.0609999999999999</v>
      </c>
      <c r="K41" s="120">
        <v>1.0609999999999999</v>
      </c>
      <c r="L41" s="120">
        <v>1.0609999999999999</v>
      </c>
      <c r="M41" s="120">
        <v>1.0609999999999999</v>
      </c>
      <c r="N41" s="120">
        <v>1.0609999999999999</v>
      </c>
      <c r="O41" s="120">
        <v>1.046</v>
      </c>
      <c r="P41" s="120">
        <v>0</v>
      </c>
      <c r="Q41" s="120">
        <v>1.0609999999999999</v>
      </c>
      <c r="R41" s="120">
        <v>-1.0609999999999999</v>
      </c>
      <c r="S41" s="120">
        <v>0</v>
      </c>
      <c r="T41" s="120">
        <v>-1.0609999999999999</v>
      </c>
      <c r="U41" s="120">
        <v>-1.0609999999999999</v>
      </c>
      <c r="V41" s="120">
        <v>0</v>
      </c>
      <c r="W41" s="120">
        <v>0</v>
      </c>
      <c r="X41" s="120">
        <v>0</v>
      </c>
      <c r="Y41" s="120">
        <v>0</v>
      </c>
      <c r="AQ41" s="3"/>
    </row>
    <row r="42" spans="5:43" x14ac:dyDescent="0.3">
      <c r="E42" s="32"/>
      <c r="F42" s="37" t="s">
        <v>199</v>
      </c>
      <c r="G42" s="37" t="s">
        <v>283</v>
      </c>
      <c r="H42" s="82"/>
      <c r="I42" s="82"/>
      <c r="J42" s="125">
        <v>1.0609999999999999</v>
      </c>
      <c r="K42" s="125">
        <v>1.0609999999999999</v>
      </c>
      <c r="L42" s="125">
        <v>1.0609999999999999</v>
      </c>
      <c r="M42" s="125">
        <v>1.0609999999999999</v>
      </c>
      <c r="N42" s="125">
        <v>1.0609999999999999</v>
      </c>
      <c r="O42" s="125">
        <v>0</v>
      </c>
      <c r="P42" s="125">
        <v>0</v>
      </c>
      <c r="Q42" s="125">
        <v>1.0609999999999999</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1.0009999999999999</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1.004</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1.0109999999999999</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1.016</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1.016</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1.0329999999999999</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1.046</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1.0609999999999999</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399026.03800899512</v>
      </c>
      <c r="K56" s="124">
        <f>'Volume adjustments'!K238</f>
        <v>165.19190239670218</v>
      </c>
      <c r="L56" s="124">
        <f>'Volume adjustments'!L238</f>
        <v>132450.31212795366</v>
      </c>
      <c r="M56" s="124">
        <f>'Volume adjustments'!M238</f>
        <v>156.53988635874572</v>
      </c>
      <c r="N56" s="124">
        <f>'Volume adjustments'!N238</f>
        <v>86674.831441096554</v>
      </c>
      <c r="O56" s="124">
        <f>'Volume adjustments'!O238</f>
        <v>45471.337844051115</v>
      </c>
      <c r="P56" s="124">
        <f>'Volume adjustments'!P238</f>
        <v>145747.31064502179</v>
      </c>
      <c r="Q56" s="124">
        <f>'Volume adjustments'!Q238</f>
        <v>3174.8858245358156</v>
      </c>
      <c r="R56" s="124">
        <f>'Volume adjustments'!R238</f>
        <v>213.54227680548701</v>
      </c>
      <c r="S56" s="124">
        <f>'Volume adjustments'!S238</f>
        <v>0</v>
      </c>
      <c r="T56" s="124">
        <f>'Volume adjustments'!T238</f>
        <v>3876.9550361278475</v>
      </c>
      <c r="U56" s="124">
        <f>'Volume adjustments'!U238</f>
        <v>0</v>
      </c>
      <c r="V56" s="124">
        <f>'Volume adjustments'!V238</f>
        <v>1009.8765349498661</v>
      </c>
      <c r="W56" s="124">
        <f>'Volume adjustments'!W238</f>
        <v>0</v>
      </c>
      <c r="X56" s="124">
        <f>'Volume adjustments'!X238</f>
        <v>33793.195270070777</v>
      </c>
      <c r="Y56" s="124">
        <f>'Volume adjustments'!Y238</f>
        <v>0</v>
      </c>
      <c r="AQ56" s="3"/>
    </row>
    <row r="57" spans="2:43" x14ac:dyDescent="0.3">
      <c r="E57" s="32"/>
      <c r="F57" t="s">
        <v>157</v>
      </c>
      <c r="G57" t="s">
        <v>207</v>
      </c>
      <c r="H57" s="89"/>
      <c r="I57" s="89"/>
      <c r="J57" s="120">
        <f>'Volume adjustments'!J249</f>
        <v>2299749.8210967407</v>
      </c>
      <c r="K57" s="120">
        <f>'Volume adjustments'!K249</f>
        <v>8808.4021048564955</v>
      </c>
      <c r="L57" s="120">
        <f>'Volume adjustments'!L249</f>
        <v>1090436.4413541511</v>
      </c>
      <c r="M57" s="120">
        <f>'Volume adjustments'!M249</f>
        <v>5298.9984308607791</v>
      </c>
      <c r="N57" s="120">
        <f>'Volume adjustments'!N249</f>
        <v>620585.3569899631</v>
      </c>
      <c r="O57" s="120">
        <f>'Volume adjustments'!O249</f>
        <v>334905.13565356511</v>
      </c>
      <c r="P57" s="120">
        <f>'Volume adjustments'!P249</f>
        <v>1045803.7234401255</v>
      </c>
      <c r="Q57" s="120">
        <f>'Volume adjustments'!Q249</f>
        <v>36715.225125918128</v>
      </c>
      <c r="R57" s="120">
        <f>'Volume adjustments'!R249</f>
        <v>2164.1290352000869</v>
      </c>
      <c r="S57" s="120">
        <f>'Volume adjustments'!S249</f>
        <v>0</v>
      </c>
      <c r="T57" s="120">
        <f>'Volume adjustments'!T249</f>
        <v>33921.821572012675</v>
      </c>
      <c r="U57" s="120">
        <f>'Volume adjustments'!U249</f>
        <v>0</v>
      </c>
      <c r="V57" s="120">
        <f>'Volume adjustments'!V249</f>
        <v>8451.4185101941748</v>
      </c>
      <c r="W57" s="120">
        <f>'Volume adjustments'!W249</f>
        <v>0</v>
      </c>
      <c r="X57" s="120">
        <f>'Volume adjustments'!X249</f>
        <v>286631.34560870531</v>
      </c>
      <c r="Y57" s="120">
        <f>'Volume adjustments'!Y249</f>
        <v>0</v>
      </c>
      <c r="AQ57" s="3"/>
    </row>
    <row r="58" spans="2:43" x14ac:dyDescent="0.3">
      <c r="E58" s="32"/>
      <c r="F58" s="37" t="s">
        <v>158</v>
      </c>
      <c r="G58" s="37" t="s">
        <v>207</v>
      </c>
      <c r="H58" s="82"/>
      <c r="I58" s="82"/>
      <c r="J58" s="125">
        <f>'Volume adjustments'!J260</f>
        <v>2603399.6497765584</v>
      </c>
      <c r="K58" s="125">
        <f>'Volume adjustments'!K260</f>
        <v>28839.73547014036</v>
      </c>
      <c r="L58" s="125">
        <f>'Volume adjustments'!L260</f>
        <v>871759.20796101703</v>
      </c>
      <c r="M58" s="125">
        <f>'Volume adjustments'!M260</f>
        <v>11694.133459357819</v>
      </c>
      <c r="N58" s="125">
        <f>'Volume adjustments'!N260</f>
        <v>532113.37881706434</v>
      </c>
      <c r="O58" s="125">
        <f>'Volume adjustments'!O260</f>
        <v>325158.96035280847</v>
      </c>
      <c r="P58" s="125">
        <f>'Volume adjustments'!P260</f>
        <v>1157684.1147271593</v>
      </c>
      <c r="Q58" s="125">
        <f>'Volume adjustments'!Q260</f>
        <v>77819.836298015449</v>
      </c>
      <c r="R58" s="125">
        <f>'Volume adjustments'!R260</f>
        <v>923.11710894429746</v>
      </c>
      <c r="S58" s="125">
        <f>'Volume adjustments'!S260</f>
        <v>0</v>
      </c>
      <c r="T58" s="125">
        <f>'Volume adjustments'!T260</f>
        <v>29109.920451841823</v>
      </c>
      <c r="U58" s="125">
        <f>'Volume adjustments'!U260</f>
        <v>0</v>
      </c>
      <c r="V58" s="125">
        <f>'Volume adjustments'!V260</f>
        <v>8337.0882839597562</v>
      </c>
      <c r="W58" s="125">
        <f>'Volume adjustments'!W260</f>
        <v>0</v>
      </c>
      <c r="X58" s="125">
        <f>'Volume adjustments'!X260</f>
        <v>235380.55373712431</v>
      </c>
      <c r="Y58" s="125">
        <f>'Volume adjustments'!Y260</f>
        <v>0</v>
      </c>
      <c r="AQ58" s="3"/>
    </row>
    <row r="59" spans="2:43" x14ac:dyDescent="0.3">
      <c r="E59" s="32"/>
      <c r="F59" s="108" t="s">
        <v>503</v>
      </c>
      <c r="G59" s="108" t="s">
        <v>207</v>
      </c>
      <c r="H59" s="167"/>
      <c r="I59" s="167"/>
      <c r="J59" s="167">
        <f t="shared" ref="J59:Y59" si="0">SUM(J56:J58)</f>
        <v>5302175.5088822944</v>
      </c>
      <c r="K59" s="167">
        <f t="shared" si="0"/>
        <v>37813.329477393556</v>
      </c>
      <c r="L59" s="167">
        <f t="shared" si="0"/>
        <v>2094645.9614431218</v>
      </c>
      <c r="M59" s="167">
        <f t="shared" si="0"/>
        <v>17149.671776577343</v>
      </c>
      <c r="N59" s="167">
        <f t="shared" si="0"/>
        <v>1239373.5672481242</v>
      </c>
      <c r="O59" s="167">
        <f t="shared" si="0"/>
        <v>705535.43385042471</v>
      </c>
      <c r="P59" s="167">
        <f t="shared" si="0"/>
        <v>2349235.1488123066</v>
      </c>
      <c r="Q59" s="167">
        <f t="shared" si="0"/>
        <v>117709.9472484694</v>
      </c>
      <c r="R59" s="167">
        <f t="shared" si="0"/>
        <v>3300.7884209498711</v>
      </c>
      <c r="S59" s="167">
        <f t="shared" si="0"/>
        <v>0</v>
      </c>
      <c r="T59" s="167">
        <f t="shared" si="0"/>
        <v>66908.69705998234</v>
      </c>
      <c r="U59" s="167">
        <f t="shared" si="0"/>
        <v>0</v>
      </c>
      <c r="V59" s="167">
        <f t="shared" si="0"/>
        <v>17798.383329103795</v>
      </c>
      <c r="W59" s="167">
        <f t="shared" si="0"/>
        <v>0</v>
      </c>
      <c r="X59" s="167">
        <f t="shared" si="0"/>
        <v>555805.09461590042</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0.43637124594100191</v>
      </c>
      <c r="K61" s="25">
        <f>'Inputs by customer type'!K15</f>
        <v>0.13909638091298485</v>
      </c>
      <c r="L61" s="25">
        <f>'Inputs by customer type'!L15</f>
        <v>0.42027324975634772</v>
      </c>
      <c r="M61" s="25">
        <f>'Inputs by customer type'!M15</f>
        <v>0.15211196015792416</v>
      </c>
      <c r="N61" s="25">
        <f>'Inputs by customer type'!N15</f>
        <v>0.56327498809340515</v>
      </c>
      <c r="O61" s="25">
        <f>'Inputs by customer type'!O15</f>
        <v>0.6133729661812396</v>
      </c>
      <c r="P61" s="25">
        <f>'Inputs by customer type'!P15</f>
        <v>0.73653799635890616</v>
      </c>
      <c r="Q61" s="25">
        <f>'Inputs by customer type'!Q15</f>
        <v>0.49149694068465871</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24.543348162285486</v>
      </c>
      <c r="K70" s="124">
        <f>'Pseudo-load coefficients'!K272</f>
        <v>24.543348162285486</v>
      </c>
      <c r="L70" s="124">
        <f>'Pseudo-load coefficients'!L272</f>
        <v>22.24175919755891</v>
      </c>
      <c r="M70" s="124">
        <f>'Pseudo-load coefficients'!M272</f>
        <v>22.24175919755891</v>
      </c>
      <c r="N70" s="124">
        <f>'Pseudo-load coefficients'!N272</f>
        <v>16.376816069662247</v>
      </c>
      <c r="O70" s="124">
        <f>'Pseudo-load coefficients'!O272</f>
        <v>16.195150191511249</v>
      </c>
      <c r="P70" s="124">
        <f>'Pseudo-load coefficients'!P272</f>
        <v>14.828470754772843</v>
      </c>
      <c r="Q70" s="124">
        <f>'Pseudo-load coefficients'!Q272</f>
        <v>46.861214592791434</v>
      </c>
      <c r="R70" s="124">
        <f>'Pseudo-load coefficients'!R272</f>
        <v>14.594705185804997</v>
      </c>
      <c r="S70" s="124">
        <f>'Pseudo-load coefficients'!S272</f>
        <v>14.594705185804997</v>
      </c>
      <c r="T70" s="124">
        <f>'Pseudo-load coefficients'!T272</f>
        <v>14.594705185804997</v>
      </c>
      <c r="U70" s="124">
        <f>'Pseudo-load coefficients'!U272</f>
        <v>14.594705185804997</v>
      </c>
      <c r="V70" s="124">
        <f>'Pseudo-load coefficients'!V272</f>
        <v>14.594705185804997</v>
      </c>
      <c r="W70" s="124">
        <f>'Pseudo-load coefficients'!W272</f>
        <v>14.594705185804997</v>
      </c>
      <c r="X70" s="124">
        <f>'Pseudo-load coefficients'!X272</f>
        <v>14.594705185804997</v>
      </c>
      <c r="Y70" s="124">
        <f>'Pseudo-load coefficients'!Y272</f>
        <v>14.594705185804997</v>
      </c>
      <c r="AQ70" s="3"/>
    </row>
    <row r="71" spans="3:43" x14ac:dyDescent="0.3">
      <c r="E71" s="32"/>
      <c r="F71" t="s">
        <v>192</v>
      </c>
      <c r="G71" t="s">
        <v>283</v>
      </c>
      <c r="J71" s="120">
        <f>'Pseudo-load coefficients'!J273</f>
        <v>24.330727394359741</v>
      </c>
      <c r="K71" s="120">
        <f>'Pseudo-load coefficients'!K273</f>
        <v>24.330727394359741</v>
      </c>
      <c r="L71" s="120">
        <f>'Pseudo-load coefficients'!L273</f>
        <v>22.049077258267864</v>
      </c>
      <c r="M71" s="120">
        <f>'Pseudo-load coefficients'!M273</f>
        <v>22.049077258267864</v>
      </c>
      <c r="N71" s="120">
        <f>'Pseudo-load coefficients'!N273</f>
        <v>16.234942549151263</v>
      </c>
      <c r="O71" s="120">
        <f>'Pseudo-load coefficients'!O273</f>
        <v>16.05485045540258</v>
      </c>
      <c r="P71" s="120">
        <f>'Pseudo-load coefficients'!P273</f>
        <v>14.700010659671024</v>
      </c>
      <c r="Q71" s="120">
        <f>'Pseudo-load coefficients'!Q273</f>
        <v>54.923589878690656</v>
      </c>
      <c r="R71" s="120">
        <f>'Pseudo-load coefficients'!R273</f>
        <v>14.46827021842658</v>
      </c>
      <c r="S71" s="120">
        <f>'Pseudo-load coefficients'!S273</f>
        <v>14.46827021842658</v>
      </c>
      <c r="T71" s="120">
        <f>'Pseudo-load coefficients'!T273</f>
        <v>14.46827021842658</v>
      </c>
      <c r="U71" s="120">
        <f>'Pseudo-load coefficients'!U273</f>
        <v>14.46827021842658</v>
      </c>
      <c r="V71" s="120">
        <f>'Pseudo-load coefficients'!V273</f>
        <v>14.46827021842658</v>
      </c>
      <c r="W71" s="120">
        <f>'Pseudo-load coefficients'!W273</f>
        <v>14.46827021842658</v>
      </c>
      <c r="X71" s="120">
        <f>'Pseudo-load coefficients'!X273</f>
        <v>14.46827021842658</v>
      </c>
      <c r="Y71" s="120">
        <f>'Pseudo-load coefficients'!Y273</f>
        <v>14.46827021842658</v>
      </c>
      <c r="AQ71" s="3"/>
    </row>
    <row r="72" spans="3:43" x14ac:dyDescent="0.3">
      <c r="E72" s="32"/>
      <c r="F72" t="s">
        <v>193</v>
      </c>
      <c r="G72" t="s">
        <v>283</v>
      </c>
      <c r="J72" s="120">
        <f>'Pseudo-load coefficients'!J274</f>
        <v>24.330727394359741</v>
      </c>
      <c r="K72" s="120">
        <f>'Pseudo-load coefficients'!K274</f>
        <v>24.330727394359741</v>
      </c>
      <c r="L72" s="120">
        <f>'Pseudo-load coefficients'!L274</f>
        <v>22.049077258267864</v>
      </c>
      <c r="M72" s="120">
        <f>'Pseudo-load coefficients'!M274</f>
        <v>22.049077258267864</v>
      </c>
      <c r="N72" s="120">
        <f>'Pseudo-load coefficients'!N274</f>
        <v>16.234942549151263</v>
      </c>
      <c r="O72" s="120">
        <f>'Pseudo-load coefficients'!O274</f>
        <v>16.05485045540258</v>
      </c>
      <c r="P72" s="120">
        <f>'Pseudo-load coefficients'!P274</f>
        <v>14.700010659671024</v>
      </c>
      <c r="Q72" s="120">
        <f>'Pseudo-load coefficients'!Q274</f>
        <v>54.923589878690656</v>
      </c>
      <c r="R72" s="120">
        <f>'Pseudo-load coefficients'!R274</f>
        <v>14.46827021842658</v>
      </c>
      <c r="S72" s="120">
        <f>'Pseudo-load coefficients'!S274</f>
        <v>14.46827021842658</v>
      </c>
      <c r="T72" s="120">
        <f>'Pseudo-load coefficients'!T274</f>
        <v>14.46827021842658</v>
      </c>
      <c r="U72" s="120">
        <f>'Pseudo-load coefficients'!U274</f>
        <v>14.46827021842658</v>
      </c>
      <c r="V72" s="120">
        <f>'Pseudo-load coefficients'!V274</f>
        <v>14.46827021842658</v>
      </c>
      <c r="W72" s="120">
        <f>'Pseudo-load coefficients'!W274</f>
        <v>14.46827021842658</v>
      </c>
      <c r="X72" s="120">
        <f>'Pseudo-load coefficients'!X274</f>
        <v>14.46827021842658</v>
      </c>
      <c r="Y72" s="120">
        <f>'Pseudo-load coefficients'!Y274</f>
        <v>14.46827021842658</v>
      </c>
      <c r="AQ72" s="3"/>
    </row>
    <row r="73" spans="3:43" x14ac:dyDescent="0.3">
      <c r="E73" s="32"/>
      <c r="F73" t="s">
        <v>194</v>
      </c>
      <c r="G73" t="s">
        <v>283</v>
      </c>
      <c r="J73" s="120">
        <f>'Pseudo-load coefficients'!J275</f>
        <v>17.377662573562574</v>
      </c>
      <c r="K73" s="120">
        <f>'Pseudo-load coefficients'!K275</f>
        <v>17.377662573562574</v>
      </c>
      <c r="L73" s="120">
        <f>'Pseudo-load coefficients'!L275</f>
        <v>15.74804642878923</v>
      </c>
      <c r="M73" s="120">
        <f>'Pseudo-load coefficients'!M275</f>
        <v>15.74804642878923</v>
      </c>
      <c r="N73" s="120">
        <f>'Pseudo-load coefficients'!N275</f>
        <v>11.595434404715977</v>
      </c>
      <c r="O73" s="120">
        <f>'Pseudo-load coefficients'!O275</f>
        <v>11.466807767846236</v>
      </c>
      <c r="P73" s="120">
        <f>'Pseudo-load coefficients'!P275</f>
        <v>10.499144597327327</v>
      </c>
      <c r="Q73" s="120">
        <f>'Pseudo-load coefficients'!Q275</f>
        <v>34.134714042368934</v>
      </c>
      <c r="R73" s="120">
        <f>'Pseudo-load coefficients'!R275</f>
        <v>10.333629315875939</v>
      </c>
      <c r="S73" s="120">
        <f>'Pseudo-load coefficients'!S275</f>
        <v>10.333629315875939</v>
      </c>
      <c r="T73" s="120">
        <f>'Pseudo-load coefficients'!T275</f>
        <v>10.333629315875939</v>
      </c>
      <c r="U73" s="120">
        <f>'Pseudo-load coefficients'!U275</f>
        <v>10.333629315875939</v>
      </c>
      <c r="V73" s="120">
        <f>'Pseudo-load coefficients'!V275</f>
        <v>10.333629315875939</v>
      </c>
      <c r="W73" s="120">
        <f>'Pseudo-load coefficients'!W275</f>
        <v>10.333629315875939</v>
      </c>
      <c r="X73" s="120">
        <f>'Pseudo-load coefficients'!X275</f>
        <v>10.333629315875939</v>
      </c>
      <c r="Y73" s="120">
        <f>'Pseudo-load coefficients'!Y275</f>
        <v>10.333629315875939</v>
      </c>
      <c r="AQ73" s="3"/>
    </row>
    <row r="74" spans="3:43" x14ac:dyDescent="0.3">
      <c r="E74" s="32"/>
      <c r="F74" t="s">
        <v>195</v>
      </c>
      <c r="G74" t="s">
        <v>283</v>
      </c>
      <c r="J74" s="120">
        <f>'Pseudo-load coefficients'!J276</f>
        <v>17.377662573562574</v>
      </c>
      <c r="K74" s="120">
        <f>'Pseudo-load coefficients'!K276</f>
        <v>17.377662573562574</v>
      </c>
      <c r="L74" s="120">
        <f>'Pseudo-load coefficients'!L276</f>
        <v>15.74804642878923</v>
      </c>
      <c r="M74" s="120">
        <f>'Pseudo-load coefficients'!M276</f>
        <v>15.74804642878923</v>
      </c>
      <c r="N74" s="120">
        <f>'Pseudo-load coefficients'!N276</f>
        <v>11.595434404715977</v>
      </c>
      <c r="O74" s="120">
        <f>'Pseudo-load coefficients'!O276</f>
        <v>11.466807767846236</v>
      </c>
      <c r="P74" s="120">
        <f>'Pseudo-load coefficients'!P276</f>
        <v>10.499144597327327</v>
      </c>
      <c r="Q74" s="120">
        <f>'Pseudo-load coefficients'!Q276</f>
        <v>34.134714042368934</v>
      </c>
      <c r="R74" s="120">
        <f>'Pseudo-load coefficients'!R276</f>
        <v>10.333629315875939</v>
      </c>
      <c r="S74" s="120">
        <f>'Pseudo-load coefficients'!S276</f>
        <v>10.333629315875939</v>
      </c>
      <c r="T74" s="120">
        <f>'Pseudo-load coefficients'!T276</f>
        <v>10.333629315875939</v>
      </c>
      <c r="U74" s="120">
        <f>'Pseudo-load coefficients'!U276</f>
        <v>10.333629315875939</v>
      </c>
      <c r="V74" s="120">
        <f>'Pseudo-load coefficients'!V276</f>
        <v>10.333629315875939</v>
      </c>
      <c r="W74" s="120">
        <f>'Pseudo-load coefficients'!W276</f>
        <v>10.333629315875939</v>
      </c>
      <c r="X74" s="120">
        <f>'Pseudo-load coefficients'!X276</f>
        <v>10.333629315875939</v>
      </c>
      <c r="Y74" s="120">
        <f>'Pseudo-load coefficients'!Y276</f>
        <v>10.333629315875939</v>
      </c>
      <c r="AQ74" s="3"/>
    </row>
    <row r="75" spans="3:43" x14ac:dyDescent="0.3">
      <c r="E75" s="32"/>
      <c r="F75" t="s">
        <v>196</v>
      </c>
      <c r="G75" t="s">
        <v>283</v>
      </c>
      <c r="J75" s="120">
        <f>'Pseudo-load coefficients'!J277</f>
        <v>24.330727394359741</v>
      </c>
      <c r="K75" s="120">
        <f>'Pseudo-load coefficients'!K277</f>
        <v>24.330727394359741</v>
      </c>
      <c r="L75" s="120">
        <f>'Pseudo-load coefficients'!L277</f>
        <v>22.049077258267864</v>
      </c>
      <c r="M75" s="120">
        <f>'Pseudo-load coefficients'!M277</f>
        <v>22.049077258267864</v>
      </c>
      <c r="N75" s="120">
        <f>'Pseudo-load coefficients'!N277</f>
        <v>16.234942549151263</v>
      </c>
      <c r="O75" s="120">
        <f>'Pseudo-load coefficients'!O277</f>
        <v>16.05485045540258</v>
      </c>
      <c r="P75" s="120">
        <f>'Pseudo-load coefficients'!P277</f>
        <v>14.700010659671024</v>
      </c>
      <c r="Q75" s="120">
        <f>'Pseudo-load coefficients'!Q277</f>
        <v>54.923589878690656</v>
      </c>
      <c r="R75" s="120">
        <f>'Pseudo-load coefficients'!R277</f>
        <v>14.46827021842658</v>
      </c>
      <c r="S75" s="120">
        <f>'Pseudo-load coefficients'!S277</f>
        <v>14.46827021842658</v>
      </c>
      <c r="T75" s="120">
        <f>'Pseudo-load coefficients'!T277</f>
        <v>14.46827021842658</v>
      </c>
      <c r="U75" s="120">
        <f>'Pseudo-load coefficients'!U277</f>
        <v>14.46827021842658</v>
      </c>
      <c r="V75" s="120">
        <f>'Pseudo-load coefficients'!V277</f>
        <v>14.46827021842658</v>
      </c>
      <c r="W75" s="120">
        <f>'Pseudo-load coefficients'!W277</f>
        <v>14.46827021842658</v>
      </c>
      <c r="X75" s="120">
        <f>'Pseudo-load coefficients'!X277</f>
        <v>14.46827021842658</v>
      </c>
      <c r="Y75" s="120">
        <f>'Pseudo-load coefficients'!Y277</f>
        <v>14.46827021842658</v>
      </c>
      <c r="AQ75" s="3"/>
    </row>
    <row r="76" spans="3:43" x14ac:dyDescent="0.3">
      <c r="E76" s="32"/>
      <c r="F76" t="s">
        <v>197</v>
      </c>
      <c r="G76" t="s">
        <v>283</v>
      </c>
      <c r="J76" s="120">
        <f>'Pseudo-load coefficients'!J278</f>
        <v>17.377662573562574</v>
      </c>
      <c r="K76" s="120">
        <f>'Pseudo-load coefficients'!K278</f>
        <v>17.377662573562574</v>
      </c>
      <c r="L76" s="120">
        <f>'Pseudo-load coefficients'!L278</f>
        <v>15.74804642878923</v>
      </c>
      <c r="M76" s="120">
        <f>'Pseudo-load coefficients'!M278</f>
        <v>15.74804642878923</v>
      </c>
      <c r="N76" s="120">
        <f>'Pseudo-load coefficients'!N278</f>
        <v>11.595434404715977</v>
      </c>
      <c r="O76" s="120">
        <f>'Pseudo-load coefficients'!O278</f>
        <v>11.466807767846236</v>
      </c>
      <c r="P76" s="120">
        <f>'Pseudo-load coefficients'!P278</f>
        <v>10.499144597327327</v>
      </c>
      <c r="Q76" s="120">
        <f>'Pseudo-load coefficients'!Q278</f>
        <v>34.134714042368934</v>
      </c>
      <c r="R76" s="120">
        <f>'Pseudo-load coefficients'!R278</f>
        <v>10.333629315875939</v>
      </c>
      <c r="S76" s="120">
        <f>'Pseudo-load coefficients'!S278</f>
        <v>10.333629315875939</v>
      </c>
      <c r="T76" s="120">
        <f>'Pseudo-load coefficients'!T278</f>
        <v>10.333629315875939</v>
      </c>
      <c r="U76" s="120">
        <f>'Pseudo-load coefficients'!U278</f>
        <v>10.333629315875939</v>
      </c>
      <c r="V76" s="120">
        <f>'Pseudo-load coefficients'!V278</f>
        <v>10.333629315875939</v>
      </c>
      <c r="W76" s="120">
        <f>'Pseudo-load coefficients'!W278</f>
        <v>10.333629315875939</v>
      </c>
      <c r="X76" s="120">
        <f>'Pseudo-load coefficients'!X278</f>
        <v>10.333629315875939</v>
      </c>
      <c r="Y76" s="120">
        <f>'Pseudo-load coefficients'!Y278</f>
        <v>10.333629315875939</v>
      </c>
      <c r="AQ76" s="3"/>
    </row>
    <row r="77" spans="3:43" x14ac:dyDescent="0.3">
      <c r="E77" s="32"/>
      <c r="F77" t="s">
        <v>198</v>
      </c>
      <c r="G77" t="s">
        <v>283</v>
      </c>
      <c r="J77" s="120">
        <f>'Pseudo-load coefficients'!J279</f>
        <v>17.377662573562574</v>
      </c>
      <c r="K77" s="120">
        <f>'Pseudo-load coefficients'!K279</f>
        <v>17.377662573562574</v>
      </c>
      <c r="L77" s="120">
        <f>'Pseudo-load coefficients'!L279</f>
        <v>15.74804642878923</v>
      </c>
      <c r="M77" s="120">
        <f>'Pseudo-load coefficients'!M279</f>
        <v>15.74804642878923</v>
      </c>
      <c r="N77" s="120">
        <f>'Pseudo-load coefficients'!N279</f>
        <v>11.595434404715977</v>
      </c>
      <c r="O77" s="120">
        <f>'Pseudo-load coefficients'!O279</f>
        <v>11.466807767846236</v>
      </c>
      <c r="P77" s="120">
        <f>'Pseudo-load coefficients'!P279</f>
        <v>10.499144597327327</v>
      </c>
      <c r="Q77" s="120">
        <f>'Pseudo-load coefficients'!Q279</f>
        <v>34.134714042368934</v>
      </c>
      <c r="R77" s="120">
        <f>'Pseudo-load coefficients'!R279</f>
        <v>10.333629315875939</v>
      </c>
      <c r="S77" s="120">
        <f>'Pseudo-load coefficients'!S279</f>
        <v>10.333629315875939</v>
      </c>
      <c r="T77" s="120">
        <f>'Pseudo-load coefficients'!T279</f>
        <v>10.333629315875939</v>
      </c>
      <c r="U77" s="120">
        <f>'Pseudo-load coefficients'!U279</f>
        <v>10.333629315875939</v>
      </c>
      <c r="V77" s="120">
        <f>'Pseudo-load coefficients'!V279</f>
        <v>10.333629315875939</v>
      </c>
      <c r="W77" s="120">
        <f>'Pseudo-load coefficients'!W279</f>
        <v>10.333629315875939</v>
      </c>
      <c r="X77" s="120">
        <f>'Pseudo-load coefficients'!X279</f>
        <v>10.333629315875939</v>
      </c>
      <c r="Y77" s="120">
        <f>'Pseudo-load coefficients'!Y279</f>
        <v>10.333629315875939</v>
      </c>
      <c r="AQ77" s="3"/>
    </row>
    <row r="78" spans="3:43" x14ac:dyDescent="0.3">
      <c r="E78" s="32"/>
      <c r="F78" s="37" t="s">
        <v>199</v>
      </c>
      <c r="G78" s="37" t="s">
        <v>283</v>
      </c>
      <c r="H78" s="37"/>
      <c r="I78" s="37"/>
      <c r="J78" s="125">
        <f>'Pseudo-load coefficients'!J280</f>
        <v>17.377662573562574</v>
      </c>
      <c r="K78" s="125">
        <f>'Pseudo-load coefficients'!K280</f>
        <v>17.377662573562574</v>
      </c>
      <c r="L78" s="125">
        <f>'Pseudo-load coefficients'!L280</f>
        <v>15.74804642878923</v>
      </c>
      <c r="M78" s="125">
        <f>'Pseudo-load coefficients'!M280</f>
        <v>15.74804642878923</v>
      </c>
      <c r="N78" s="125">
        <f>'Pseudo-load coefficients'!N280</f>
        <v>11.595434404715977</v>
      </c>
      <c r="O78" s="125">
        <f>'Pseudo-load coefficients'!O280</f>
        <v>11.466807767846236</v>
      </c>
      <c r="P78" s="125">
        <f>'Pseudo-load coefficients'!P280</f>
        <v>10.499144597327327</v>
      </c>
      <c r="Q78" s="125">
        <f>'Pseudo-load coefficients'!Q280</f>
        <v>34.134714042368934</v>
      </c>
      <c r="R78" s="125">
        <f>'Pseudo-load coefficients'!R280</f>
        <v>10.333629315875939</v>
      </c>
      <c r="S78" s="125">
        <f>'Pseudo-load coefficients'!S280</f>
        <v>10.333629315875939</v>
      </c>
      <c r="T78" s="125">
        <f>'Pseudo-load coefficients'!T280</f>
        <v>10.333629315875939</v>
      </c>
      <c r="U78" s="125">
        <f>'Pseudo-load coefficients'!U280</f>
        <v>10.333629315875939</v>
      </c>
      <c r="V78" s="125">
        <f>'Pseudo-load coefficients'!V280</f>
        <v>10.333629315875939</v>
      </c>
      <c r="W78" s="125">
        <f>'Pseudo-load coefficients'!W280</f>
        <v>10.333629315875939</v>
      </c>
      <c r="X78" s="125">
        <f>'Pseudo-load coefficients'!X280</f>
        <v>10.333629315875939</v>
      </c>
      <c r="Y78" s="125">
        <f>'Pseudo-load coefficients'!Y280</f>
        <v>10.333629315875939</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1186.1683230878</v>
      </c>
      <c r="K82" s="158">
        <f t="shared" si="1"/>
        <v>0.4910591870928549</v>
      </c>
      <c r="L82" s="158">
        <f t="shared" si="1"/>
        <v>356.8070265775047</v>
      </c>
      <c r="M82" s="158">
        <f t="shared" si="1"/>
        <v>0.42170177249930713</v>
      </c>
      <c r="N82" s="158">
        <f t="shared" si="1"/>
        <v>171.92291055878829</v>
      </c>
      <c r="O82" s="158">
        <f t="shared" si="1"/>
        <v>87.932676084457938</v>
      </c>
      <c r="P82" s="158">
        <f t="shared" si="1"/>
        <v>254.85498341227765</v>
      </c>
      <c r="Q82" s="158">
        <f t="shared" si="1"/>
        <v>18.019922978651444</v>
      </c>
      <c r="R82" s="158">
        <f t="shared" si="1"/>
        <v>-0.37747698124854195</v>
      </c>
      <c r="S82" s="158">
        <f t="shared" si="1"/>
        <v>0</v>
      </c>
      <c r="T82" s="158">
        <f t="shared" si="1"/>
        <v>-6.8532625265905569</v>
      </c>
      <c r="U82" s="158">
        <f t="shared" si="1"/>
        <v>0</v>
      </c>
      <c r="V82" s="158">
        <f t="shared" si="1"/>
        <v>-1.7599129469785104</v>
      </c>
      <c r="W82" s="158">
        <f t="shared" si="1"/>
        <v>0</v>
      </c>
      <c r="X82" s="158">
        <f t="shared" si="1"/>
        <v>-58.159518160658969</v>
      </c>
      <c r="Y82" s="158">
        <f t="shared" si="1"/>
        <v>0</v>
      </c>
      <c r="AQ82" s="3"/>
    </row>
    <row r="83" spans="5:43" x14ac:dyDescent="0.3">
      <c r="E83" s="32"/>
      <c r="F83" t="s">
        <v>192</v>
      </c>
      <c r="G83" t="s">
        <v>172</v>
      </c>
      <c r="J83" s="89">
        <f t="shared" ref="J83:Y83" si="2">J$56 * J35 * J71 / hours_in_year / $H46</f>
        <v>1174.7177449314652</v>
      </c>
      <c r="K83" s="89">
        <f t="shared" si="2"/>
        <v>0.48631878769780484</v>
      </c>
      <c r="L83" s="89">
        <f t="shared" si="2"/>
        <v>353.36261935044308</v>
      </c>
      <c r="M83" s="89">
        <f t="shared" si="2"/>
        <v>0.41763090919038126</v>
      </c>
      <c r="N83" s="89">
        <f t="shared" si="2"/>
        <v>170.26326690965314</v>
      </c>
      <c r="O83" s="89">
        <f t="shared" si="2"/>
        <v>87.083825242294438</v>
      </c>
      <c r="P83" s="89">
        <f t="shared" si="2"/>
        <v>252.39476183217596</v>
      </c>
      <c r="Q83" s="89">
        <f t="shared" si="2"/>
        <v>21.099114433707921</v>
      </c>
      <c r="R83" s="89">
        <f t="shared" si="2"/>
        <v>-0.37383303831744774</v>
      </c>
      <c r="S83" s="89">
        <f t="shared" si="2"/>
        <v>0</v>
      </c>
      <c r="T83" s="89">
        <f t="shared" si="2"/>
        <v>-6.7871051215585929</v>
      </c>
      <c r="U83" s="89">
        <f t="shared" si="2"/>
        <v>0</v>
      </c>
      <c r="V83" s="89">
        <f t="shared" si="2"/>
        <v>-1.742923772376997</v>
      </c>
      <c r="W83" s="89">
        <f t="shared" si="2"/>
        <v>0</v>
      </c>
      <c r="X83" s="89">
        <f t="shared" si="2"/>
        <v>-57.598080044945526</v>
      </c>
      <c r="Y83" s="89">
        <f t="shared" si="2"/>
        <v>0</v>
      </c>
      <c r="AQ83" s="3"/>
    </row>
    <row r="84" spans="5:43" x14ac:dyDescent="0.3">
      <c r="E84" s="32"/>
      <c r="F84" t="s">
        <v>193</v>
      </c>
      <c r="G84" t="s">
        <v>172</v>
      </c>
      <c r="J84" s="89">
        <f t="shared" ref="J84:Y84" si="3">J$56 * J36 * J72 / hours_in_year / $H47</f>
        <v>1171.2076321478053</v>
      </c>
      <c r="K84" s="89">
        <f t="shared" si="3"/>
        <v>0.48486564390986314</v>
      </c>
      <c r="L84" s="89">
        <f t="shared" si="3"/>
        <v>352.30675494999349</v>
      </c>
      <c r="M84" s="89">
        <f t="shared" si="3"/>
        <v>0.41638300806730238</v>
      </c>
      <c r="N84" s="89">
        <f t="shared" si="3"/>
        <v>169.75451212805058</v>
      </c>
      <c r="O84" s="89">
        <f t="shared" si="3"/>
        <v>86.823614609100318</v>
      </c>
      <c r="P84" s="89">
        <f t="shared" si="3"/>
        <v>251.64059421713952</v>
      </c>
      <c r="Q84" s="89">
        <f t="shared" si="3"/>
        <v>21.036069271057396</v>
      </c>
      <c r="R84" s="89">
        <f t="shared" si="3"/>
        <v>-0.37271600732645932</v>
      </c>
      <c r="S84" s="89">
        <f t="shared" si="3"/>
        <v>0</v>
      </c>
      <c r="T84" s="89">
        <f t="shared" si="3"/>
        <v>-6.7668249269722613</v>
      </c>
      <c r="U84" s="89">
        <f t="shared" si="3"/>
        <v>0</v>
      </c>
      <c r="V84" s="89">
        <f t="shared" si="3"/>
        <v>-1.7377158328181013</v>
      </c>
      <c r="W84" s="89">
        <f t="shared" si="3"/>
        <v>0</v>
      </c>
      <c r="X84" s="89">
        <f t="shared" si="3"/>
        <v>-57.425974228078154</v>
      </c>
      <c r="Y84" s="89">
        <f t="shared" si="3"/>
        <v>0</v>
      </c>
      <c r="AQ84" s="3"/>
    </row>
    <row r="85" spans="5:43" x14ac:dyDescent="0.3">
      <c r="E85" s="32"/>
      <c r="F85" t="s">
        <v>194</v>
      </c>
      <c r="G85" t="s">
        <v>172</v>
      </c>
      <c r="J85" s="89">
        <f t="shared" ref="J85:Y85" si="4">J$56 * J37 * J73 / hours_in_year / $H48</f>
        <v>830.71627364149731</v>
      </c>
      <c r="K85" s="89">
        <f t="shared" si="4"/>
        <v>0.34390638335146662</v>
      </c>
      <c r="L85" s="89">
        <f t="shared" si="4"/>
        <v>249.88477415749324</v>
      </c>
      <c r="M85" s="89">
        <f t="shared" si="4"/>
        <v>0.2953328951886946</v>
      </c>
      <c r="N85" s="89">
        <f t="shared" si="4"/>
        <v>120.4037882593376</v>
      </c>
      <c r="O85" s="89">
        <f t="shared" si="4"/>
        <v>61.582410848783709</v>
      </c>
      <c r="P85" s="89">
        <f t="shared" si="4"/>
        <v>178.48409708673532</v>
      </c>
      <c r="Q85" s="89">
        <f t="shared" si="4"/>
        <v>12.98328238031206</v>
      </c>
      <c r="R85" s="89">
        <f t="shared" si="4"/>
        <v>-0.26436068570094434</v>
      </c>
      <c r="S85" s="89">
        <f t="shared" si="4"/>
        <v>0</v>
      </c>
      <c r="T85" s="89">
        <f t="shared" si="4"/>
        <v>-4.799585857727223</v>
      </c>
      <c r="U85" s="89">
        <f t="shared" si="4"/>
        <v>0</v>
      </c>
      <c r="V85" s="89">
        <f t="shared" si="4"/>
        <v>-1.2325302377335512</v>
      </c>
      <c r="W85" s="89">
        <f t="shared" si="4"/>
        <v>0</v>
      </c>
      <c r="X85" s="89">
        <f t="shared" si="4"/>
        <v>-40.731199158512183</v>
      </c>
      <c r="Y85" s="89">
        <f t="shared" si="4"/>
        <v>0</v>
      </c>
      <c r="AQ85" s="3"/>
    </row>
    <row r="86" spans="5:43" x14ac:dyDescent="0.3">
      <c r="E86" s="32"/>
      <c r="F86" t="s">
        <v>195</v>
      </c>
      <c r="G86" t="s">
        <v>172</v>
      </c>
      <c r="J86" s="89">
        <f t="shared" ref="J86:Y86" si="5">J$56 * J38 * J74 / hours_in_year / $H49</f>
        <v>826.6281030034977</v>
      </c>
      <c r="K86" s="89">
        <f t="shared" si="5"/>
        <v>0.34221393067749278</v>
      </c>
      <c r="L86" s="89">
        <f t="shared" si="5"/>
        <v>248.65502625317484</v>
      </c>
      <c r="M86" s="89">
        <f t="shared" si="5"/>
        <v>0.29387948527142738</v>
      </c>
      <c r="N86" s="89">
        <f t="shared" si="5"/>
        <v>119.81124993128967</v>
      </c>
      <c r="O86" s="89">
        <f t="shared" si="5"/>
        <v>61.279347803268031</v>
      </c>
      <c r="P86" s="89">
        <f t="shared" si="5"/>
        <v>177.60573046721396</v>
      </c>
      <c r="Q86" s="89">
        <f t="shared" si="5"/>
        <v>12.919388274109735</v>
      </c>
      <c r="R86" s="89">
        <f t="shared" si="5"/>
        <v>-0.26305969807446333</v>
      </c>
      <c r="S86" s="89">
        <f t="shared" si="5"/>
        <v>0</v>
      </c>
      <c r="T86" s="89">
        <f t="shared" si="5"/>
        <v>-4.7759658485848639</v>
      </c>
      <c r="U86" s="89">
        <f t="shared" si="5"/>
        <v>0</v>
      </c>
      <c r="V86" s="89">
        <f t="shared" si="5"/>
        <v>-1.2264646361699016</v>
      </c>
      <c r="W86" s="89">
        <f t="shared" si="5"/>
        <v>0</v>
      </c>
      <c r="X86" s="89">
        <f t="shared" si="5"/>
        <v>-40.53075034375572</v>
      </c>
      <c r="Y86" s="89">
        <f t="shared" si="5"/>
        <v>0</v>
      </c>
      <c r="AQ86" s="3"/>
    </row>
    <row r="87" spans="5:43" x14ac:dyDescent="0.3">
      <c r="E87" s="32"/>
      <c r="F87" t="s">
        <v>196</v>
      </c>
      <c r="G87" t="s">
        <v>172</v>
      </c>
      <c r="J87" s="89">
        <f t="shared" ref="J87:Y87" si="6">J$56 * J39 * J75 / hours_in_year / $H50</f>
        <v>0</v>
      </c>
      <c r="K87" s="89">
        <f t="shared" si="6"/>
        <v>0</v>
      </c>
      <c r="L87" s="89">
        <f t="shared" si="6"/>
        <v>0</v>
      </c>
      <c r="M87" s="89">
        <f t="shared" si="6"/>
        <v>0</v>
      </c>
      <c r="N87" s="89">
        <f t="shared" si="6"/>
        <v>0</v>
      </c>
      <c r="O87" s="89">
        <f t="shared" si="6"/>
        <v>0</v>
      </c>
      <c r="P87" s="89">
        <f t="shared" si="6"/>
        <v>0</v>
      </c>
      <c r="Q87" s="89">
        <f t="shared" si="6"/>
        <v>0</v>
      </c>
      <c r="R87" s="89">
        <f t="shared" si="6"/>
        <v>0</v>
      </c>
      <c r="S87" s="89">
        <f t="shared" si="6"/>
        <v>0</v>
      </c>
      <c r="T87" s="89">
        <f t="shared" si="6"/>
        <v>0</v>
      </c>
      <c r="U87" s="89">
        <f t="shared" si="6"/>
        <v>0</v>
      </c>
      <c r="V87" s="89">
        <f t="shared" si="6"/>
        <v>0</v>
      </c>
      <c r="W87" s="89">
        <f t="shared" si="6"/>
        <v>0</v>
      </c>
      <c r="X87" s="89">
        <f t="shared" si="6"/>
        <v>0</v>
      </c>
      <c r="Y87" s="89">
        <f t="shared" si="6"/>
        <v>0</v>
      </c>
      <c r="AQ87" s="3"/>
    </row>
    <row r="88" spans="5:43" x14ac:dyDescent="0.3">
      <c r="E88" s="32"/>
      <c r="F88" t="s">
        <v>197</v>
      </c>
      <c r="G88" t="s">
        <v>172</v>
      </c>
      <c r="J88" s="89">
        <f t="shared" ref="J88:Y88" si="7">J$56 * J40 * J76 / hours_in_year / $H51</f>
        <v>813.02434913025536</v>
      </c>
      <c r="K88" s="89">
        <f t="shared" si="7"/>
        <v>0.33658214285414589</v>
      </c>
      <c r="L88" s="89">
        <f t="shared" si="7"/>
        <v>244.56292998376153</v>
      </c>
      <c r="M88" s="89">
        <f t="shared" si="7"/>
        <v>0.28904313362610867</v>
      </c>
      <c r="N88" s="89">
        <f>N$56 * N40 * N76 / hours_in_year / $H51</f>
        <v>117.83952558585703</v>
      </c>
      <c r="O88" s="89">
        <f t="shared" si="7"/>
        <v>60.27087838152984</v>
      </c>
      <c r="P88" s="89">
        <f t="shared" si="7"/>
        <v>174.68288688740503</v>
      </c>
      <c r="Q88" s="89">
        <f t="shared" si="7"/>
        <v>12.706774914322839</v>
      </c>
      <c r="R88" s="89">
        <f t="shared" si="7"/>
        <v>-0.2587305452503918</v>
      </c>
      <c r="S88" s="89">
        <f t="shared" si="7"/>
        <v>0</v>
      </c>
      <c r="T88" s="89">
        <f t="shared" si="7"/>
        <v>-4.697368153109605</v>
      </c>
      <c r="U88" s="89">
        <f t="shared" si="7"/>
        <v>0</v>
      </c>
      <c r="V88" s="89">
        <f t="shared" si="7"/>
        <v>-1.2062808038224784</v>
      </c>
      <c r="W88" s="89">
        <f t="shared" si="7"/>
        <v>0</v>
      </c>
      <c r="X88" s="89">
        <f t="shared" si="7"/>
        <v>0</v>
      </c>
      <c r="Y88" s="89">
        <f t="shared" si="7"/>
        <v>0</v>
      </c>
      <c r="AQ88" s="3"/>
    </row>
    <row r="89" spans="5:43" x14ac:dyDescent="0.3">
      <c r="E89" s="32"/>
      <c r="F89" t="s">
        <v>198</v>
      </c>
      <c r="G89" t="s">
        <v>172</v>
      </c>
      <c r="J89" s="89">
        <f t="shared" ref="J89:Y89" si="8">J$56 * J41 * J77 / hours_in_year / $H52</f>
        <v>802.91984001104561</v>
      </c>
      <c r="K89" s="89">
        <f t="shared" si="8"/>
        <v>0.33239899958731611</v>
      </c>
      <c r="L89" s="89">
        <f t="shared" si="8"/>
        <v>241.52342894189832</v>
      </c>
      <c r="M89" s="89">
        <f t="shared" si="8"/>
        <v>0.28545081934586064</v>
      </c>
      <c r="N89" s="89">
        <f t="shared" si="8"/>
        <v>116.37498081280144</v>
      </c>
      <c r="O89" s="89">
        <f t="shared" si="8"/>
        <v>59.521813927457288</v>
      </c>
      <c r="P89" s="89">
        <f t="shared" si="8"/>
        <v>0</v>
      </c>
      <c r="Q89" s="89">
        <f t="shared" si="8"/>
        <v>12.548851325521502</v>
      </c>
      <c r="R89" s="89">
        <f t="shared" si="8"/>
        <v>-0.25551496486009057</v>
      </c>
      <c r="S89" s="89">
        <f t="shared" si="8"/>
        <v>0</v>
      </c>
      <c r="T89" s="89">
        <f t="shared" si="8"/>
        <v>-4.638987860575738</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791.56847563765666</v>
      </c>
      <c r="K90" s="82">
        <f t="shared" si="9"/>
        <v>0.32769967348570472</v>
      </c>
      <c r="L90" s="82">
        <f t="shared" si="9"/>
        <v>238.10886585600909</v>
      </c>
      <c r="M90" s="82">
        <f t="shared" si="9"/>
        <v>0.28141522812042435</v>
      </c>
      <c r="N90" s="82">
        <f t="shared" si="9"/>
        <v>114.72971718208323</v>
      </c>
      <c r="O90" s="82">
        <f t="shared" si="9"/>
        <v>0</v>
      </c>
      <c r="P90" s="82">
        <f t="shared" si="9"/>
        <v>0</v>
      </c>
      <c r="Q90" s="82">
        <f t="shared" si="9"/>
        <v>12.371440609326571</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0.55741103557975957</v>
      </c>
      <c r="K93" s="124">
        <f>'Pseudo-load coefficients'!K283</f>
        <v>0.55741103557975957</v>
      </c>
      <c r="L93" s="124">
        <f>'Pseudo-load coefficients'!L283</f>
        <v>0.50513898696503134</v>
      </c>
      <c r="M93" s="124">
        <f>'Pseudo-load coefficients'!M283</f>
        <v>0.50513898696503134</v>
      </c>
      <c r="N93" s="124">
        <f>'Pseudo-load coefficients'!N283</f>
        <v>0.37193857759460719</v>
      </c>
      <c r="O93" s="124">
        <f>'Pseudo-load coefficients'!O283</f>
        <v>0.36781271161250545</v>
      </c>
      <c r="P93" s="124">
        <f>'Pseudo-load coefficients'!P283</f>
        <v>0.33677366204596992</v>
      </c>
      <c r="Q93" s="124">
        <f>'Pseudo-load coefficients'!Q283</f>
        <v>1.0245077640769706</v>
      </c>
      <c r="R93" s="124">
        <f>'Pseudo-load coefficients'!R283</f>
        <v>0.33146454500865025</v>
      </c>
      <c r="S93" s="124">
        <f>'Pseudo-load coefficients'!S283</f>
        <v>0.33146454500865025</v>
      </c>
      <c r="T93" s="124">
        <f>'Pseudo-load coefficients'!T283</f>
        <v>0.33146454500865025</v>
      </c>
      <c r="U93" s="124">
        <f>'Pseudo-load coefficients'!U283</f>
        <v>0.33146454500865025</v>
      </c>
      <c r="V93" s="124">
        <f>'Pseudo-load coefficients'!V283</f>
        <v>0.33146454500865025</v>
      </c>
      <c r="W93" s="124">
        <f>'Pseudo-load coefficients'!W283</f>
        <v>0.33146454500865025</v>
      </c>
      <c r="X93" s="124">
        <f>'Pseudo-load coefficients'!X283</f>
        <v>0.33146454500865025</v>
      </c>
      <c r="Y93" s="124">
        <f>'Pseudo-load coefficients'!Y283</f>
        <v>0.33146454500865025</v>
      </c>
      <c r="AQ93" s="3"/>
    </row>
    <row r="94" spans="5:43" x14ac:dyDescent="0.3">
      <c r="E94" s="32"/>
      <c r="F94" t="s">
        <v>192</v>
      </c>
      <c r="G94" t="s">
        <v>283</v>
      </c>
      <c r="J94" s="120">
        <f>'Pseudo-load coefficients'!J284</f>
        <v>0.51718214809225938</v>
      </c>
      <c r="K94" s="120">
        <f>'Pseudo-load coefficients'!K284</f>
        <v>0.51718214809225938</v>
      </c>
      <c r="L94" s="120">
        <f>'Pseudo-load coefficients'!L284</f>
        <v>0.46868262321358506</v>
      </c>
      <c r="M94" s="120">
        <f>'Pseudo-load coefficients'!M284</f>
        <v>0.46868262321358506</v>
      </c>
      <c r="N94" s="120">
        <f>'Pseudo-load coefficients'!N284</f>
        <v>0.34509541476638705</v>
      </c>
      <c r="O94" s="120">
        <f>'Pseudo-load coefficients'!O284</f>
        <v>0.34126731647776098</v>
      </c>
      <c r="P94" s="120">
        <f>'Pseudo-load coefficients'!P284</f>
        <v>0.31246838480094818</v>
      </c>
      <c r="Q94" s="120">
        <f>'Pseudo-load coefficients'!Q284</f>
        <v>0.65420727178370852</v>
      </c>
      <c r="R94" s="120">
        <f>'Pseudo-load coefficients'!R284</f>
        <v>0.30754243181729701</v>
      </c>
      <c r="S94" s="120">
        <f>'Pseudo-load coefficients'!S284</f>
        <v>0.30754243181729701</v>
      </c>
      <c r="T94" s="120">
        <f>'Pseudo-load coefficients'!T284</f>
        <v>0.30754243181729701</v>
      </c>
      <c r="U94" s="120">
        <f>'Pseudo-load coefficients'!U284</f>
        <v>0.30754243181729701</v>
      </c>
      <c r="V94" s="120">
        <f>'Pseudo-load coefficients'!V284</f>
        <v>0.30754243181729701</v>
      </c>
      <c r="W94" s="120">
        <f>'Pseudo-load coefficients'!W284</f>
        <v>0.30754243181729701</v>
      </c>
      <c r="X94" s="120">
        <f>'Pseudo-load coefficients'!X284</f>
        <v>0.30754243181729701</v>
      </c>
      <c r="Y94" s="120">
        <f>'Pseudo-load coefficients'!Y284</f>
        <v>0.30754243181729701</v>
      </c>
      <c r="AQ94" s="3"/>
    </row>
    <row r="95" spans="5:43" x14ac:dyDescent="0.3">
      <c r="E95" s="32"/>
      <c r="F95" t="s">
        <v>193</v>
      </c>
      <c r="G95" t="s">
        <v>283</v>
      </c>
      <c r="J95" s="120">
        <f>'Pseudo-load coefficients'!J285</f>
        <v>0.51718214809225938</v>
      </c>
      <c r="K95" s="120">
        <f>'Pseudo-load coefficients'!K285</f>
        <v>0.51718214809225938</v>
      </c>
      <c r="L95" s="120">
        <f>'Pseudo-load coefficients'!L285</f>
        <v>0.46868262321358506</v>
      </c>
      <c r="M95" s="120">
        <f>'Pseudo-load coefficients'!M285</f>
        <v>0.46868262321358506</v>
      </c>
      <c r="N95" s="120">
        <f>'Pseudo-load coefficients'!N285</f>
        <v>0.34509541476638705</v>
      </c>
      <c r="O95" s="120">
        <f>'Pseudo-load coefficients'!O285</f>
        <v>0.34126731647776098</v>
      </c>
      <c r="P95" s="120">
        <f>'Pseudo-load coefficients'!P285</f>
        <v>0.31246838480094818</v>
      </c>
      <c r="Q95" s="120">
        <f>'Pseudo-load coefficients'!Q285</f>
        <v>0.65420727178370852</v>
      </c>
      <c r="R95" s="120">
        <f>'Pseudo-load coefficients'!R285</f>
        <v>0.30754243181729701</v>
      </c>
      <c r="S95" s="120">
        <f>'Pseudo-load coefficients'!S285</f>
        <v>0.30754243181729701</v>
      </c>
      <c r="T95" s="120">
        <f>'Pseudo-load coefficients'!T285</f>
        <v>0.30754243181729701</v>
      </c>
      <c r="U95" s="120">
        <f>'Pseudo-load coefficients'!U285</f>
        <v>0.30754243181729701</v>
      </c>
      <c r="V95" s="120">
        <f>'Pseudo-load coefficients'!V285</f>
        <v>0.30754243181729701</v>
      </c>
      <c r="W95" s="120">
        <f>'Pseudo-load coefficients'!W285</f>
        <v>0.30754243181729701</v>
      </c>
      <c r="X95" s="120">
        <f>'Pseudo-load coefficients'!X285</f>
        <v>0.30754243181729701</v>
      </c>
      <c r="Y95" s="120">
        <f>'Pseudo-load coefficients'!Y285</f>
        <v>0.30754243181729701</v>
      </c>
      <c r="AQ95" s="3"/>
    </row>
    <row r="96" spans="5:43" x14ac:dyDescent="0.3">
      <c r="E96" s="32"/>
      <c r="F96" t="s">
        <v>194</v>
      </c>
      <c r="G96" t="s">
        <v>283</v>
      </c>
      <c r="J96" s="120">
        <f>'Pseudo-load coefficients'!J286</f>
        <v>1.4470085088521996</v>
      </c>
      <c r="K96" s="120">
        <f>'Pseudo-load coefficients'!K286</f>
        <v>1.4470085088521996</v>
      </c>
      <c r="L96" s="120">
        <f>'Pseudo-load coefficients'!L286</f>
        <v>1.3113131345365889</v>
      </c>
      <c r="M96" s="120">
        <f>'Pseudo-load coefficients'!M286</f>
        <v>1.3113131345365889</v>
      </c>
      <c r="N96" s="120">
        <f>'Pseudo-load coefficients'!N286</f>
        <v>0.96553216961340604</v>
      </c>
      <c r="O96" s="120">
        <f>'Pseudo-load coefficients'!O286</f>
        <v>0.95482164757238552</v>
      </c>
      <c r="P96" s="120">
        <f>'Pseudo-load coefficients'!P286</f>
        <v>0.87424597546939675</v>
      </c>
      <c r="Q96" s="120">
        <f>'Pseudo-load coefficients'!Q286</f>
        <v>1.3988458803739743</v>
      </c>
      <c r="R96" s="120">
        <f>'Pseudo-load coefficients'!R286</f>
        <v>0.86046379851715293</v>
      </c>
      <c r="S96" s="120">
        <f>'Pseudo-load coefficients'!S286</f>
        <v>0.86046379851715293</v>
      </c>
      <c r="T96" s="120">
        <f>'Pseudo-load coefficients'!T286</f>
        <v>0.86046379851715293</v>
      </c>
      <c r="U96" s="120">
        <f>'Pseudo-load coefficients'!U286</f>
        <v>0.86046379851715293</v>
      </c>
      <c r="V96" s="120">
        <f>'Pseudo-load coefficients'!V286</f>
        <v>0.86046379851715293</v>
      </c>
      <c r="W96" s="120">
        <f>'Pseudo-load coefficients'!W286</f>
        <v>0.86046379851715293</v>
      </c>
      <c r="X96" s="120">
        <f>'Pseudo-load coefficients'!X286</f>
        <v>0.86046379851715293</v>
      </c>
      <c r="Y96" s="120">
        <f>'Pseudo-load coefficients'!Y286</f>
        <v>0.86046379851715293</v>
      </c>
      <c r="AQ96" s="3"/>
    </row>
    <row r="97" spans="5:43" x14ac:dyDescent="0.3">
      <c r="E97" s="32"/>
      <c r="F97" t="s">
        <v>195</v>
      </c>
      <c r="G97" t="s">
        <v>283</v>
      </c>
      <c r="J97" s="120">
        <f>'Pseudo-load coefficients'!J287</f>
        <v>1.4470085088521996</v>
      </c>
      <c r="K97" s="120">
        <f>'Pseudo-load coefficients'!K287</f>
        <v>1.4470085088521996</v>
      </c>
      <c r="L97" s="120">
        <f>'Pseudo-load coefficients'!L287</f>
        <v>1.3113131345365889</v>
      </c>
      <c r="M97" s="120">
        <f>'Pseudo-load coefficients'!M287</f>
        <v>1.3113131345365889</v>
      </c>
      <c r="N97" s="120">
        <f>'Pseudo-load coefficients'!N287</f>
        <v>0.96553216961340604</v>
      </c>
      <c r="O97" s="120">
        <f>'Pseudo-load coefficients'!O287</f>
        <v>0.95482164757238552</v>
      </c>
      <c r="P97" s="120">
        <f>'Pseudo-load coefficients'!P287</f>
        <v>0.87424597546939675</v>
      </c>
      <c r="Q97" s="120">
        <f>'Pseudo-load coefficients'!Q287</f>
        <v>1.3988458803739743</v>
      </c>
      <c r="R97" s="120">
        <f>'Pseudo-load coefficients'!R287</f>
        <v>0.86046379851715293</v>
      </c>
      <c r="S97" s="120">
        <f>'Pseudo-load coefficients'!S287</f>
        <v>0.86046379851715293</v>
      </c>
      <c r="T97" s="120">
        <f>'Pseudo-load coefficients'!T287</f>
        <v>0.86046379851715293</v>
      </c>
      <c r="U97" s="120">
        <f>'Pseudo-load coefficients'!U287</f>
        <v>0.86046379851715293</v>
      </c>
      <c r="V97" s="120">
        <f>'Pseudo-load coefficients'!V287</f>
        <v>0.86046379851715293</v>
      </c>
      <c r="W97" s="120">
        <f>'Pseudo-load coefficients'!W287</f>
        <v>0.86046379851715293</v>
      </c>
      <c r="X97" s="120">
        <f>'Pseudo-load coefficients'!X287</f>
        <v>0.86046379851715293</v>
      </c>
      <c r="Y97" s="120">
        <f>'Pseudo-load coefficients'!Y287</f>
        <v>0.86046379851715293</v>
      </c>
      <c r="AQ97" s="3"/>
    </row>
    <row r="98" spans="5:43" x14ac:dyDescent="0.3">
      <c r="E98" s="32"/>
      <c r="F98" t="s">
        <v>196</v>
      </c>
      <c r="G98" t="s">
        <v>283</v>
      </c>
      <c r="J98" s="120">
        <f>'Pseudo-load coefficients'!J288</f>
        <v>0.51718214809225938</v>
      </c>
      <c r="K98" s="120">
        <f>'Pseudo-load coefficients'!K288</f>
        <v>0.51718214809225938</v>
      </c>
      <c r="L98" s="120">
        <f>'Pseudo-load coefficients'!L288</f>
        <v>0.46868262321358506</v>
      </c>
      <c r="M98" s="120">
        <f>'Pseudo-load coefficients'!M288</f>
        <v>0.46868262321358506</v>
      </c>
      <c r="N98" s="120">
        <f>'Pseudo-load coefficients'!N288</f>
        <v>0.34509541476638705</v>
      </c>
      <c r="O98" s="120">
        <f>'Pseudo-load coefficients'!O288</f>
        <v>0.34126731647776098</v>
      </c>
      <c r="P98" s="120">
        <f>'Pseudo-load coefficients'!P288</f>
        <v>0.31246838480094818</v>
      </c>
      <c r="Q98" s="120">
        <f>'Pseudo-load coefficients'!Q288</f>
        <v>0.65420727178370852</v>
      </c>
      <c r="R98" s="120">
        <f>'Pseudo-load coefficients'!R288</f>
        <v>0.30754243181729701</v>
      </c>
      <c r="S98" s="120">
        <f>'Pseudo-load coefficients'!S288</f>
        <v>0.30754243181729701</v>
      </c>
      <c r="T98" s="120">
        <f>'Pseudo-load coefficients'!T288</f>
        <v>0.30754243181729701</v>
      </c>
      <c r="U98" s="120">
        <f>'Pseudo-load coefficients'!U288</f>
        <v>0.30754243181729701</v>
      </c>
      <c r="V98" s="120">
        <f>'Pseudo-load coefficients'!V288</f>
        <v>0.30754243181729701</v>
      </c>
      <c r="W98" s="120">
        <f>'Pseudo-load coefficients'!W288</f>
        <v>0.30754243181729701</v>
      </c>
      <c r="X98" s="120">
        <f>'Pseudo-load coefficients'!X288</f>
        <v>0.30754243181729701</v>
      </c>
      <c r="Y98" s="120">
        <f>'Pseudo-load coefficients'!Y288</f>
        <v>0.30754243181729701</v>
      </c>
      <c r="AQ98" s="3"/>
    </row>
    <row r="99" spans="5:43" x14ac:dyDescent="0.3">
      <c r="E99" s="32"/>
      <c r="F99" t="s">
        <v>197</v>
      </c>
      <c r="G99" t="s">
        <v>283</v>
      </c>
      <c r="J99" s="120">
        <f>'Pseudo-load coefficients'!J289</f>
        <v>1.4470085088521996</v>
      </c>
      <c r="K99" s="120">
        <f>'Pseudo-load coefficients'!K289</f>
        <v>1.4470085088521996</v>
      </c>
      <c r="L99" s="120">
        <f>'Pseudo-load coefficients'!L289</f>
        <v>1.3113131345365889</v>
      </c>
      <c r="M99" s="120">
        <f>'Pseudo-load coefficients'!M289</f>
        <v>1.3113131345365889</v>
      </c>
      <c r="N99" s="120">
        <f>'Pseudo-load coefficients'!N289</f>
        <v>0.96553216961340604</v>
      </c>
      <c r="O99" s="120">
        <f>'Pseudo-load coefficients'!O289</f>
        <v>0.95482164757238552</v>
      </c>
      <c r="P99" s="120">
        <f>'Pseudo-load coefficients'!P289</f>
        <v>0.87424597546939675</v>
      </c>
      <c r="Q99" s="120">
        <f>'Pseudo-load coefficients'!Q289</f>
        <v>1.3988458803739743</v>
      </c>
      <c r="R99" s="120">
        <f>'Pseudo-load coefficients'!R289</f>
        <v>0.86046379851715293</v>
      </c>
      <c r="S99" s="120">
        <f>'Pseudo-load coefficients'!S289</f>
        <v>0.86046379851715293</v>
      </c>
      <c r="T99" s="120">
        <f>'Pseudo-load coefficients'!T289</f>
        <v>0.86046379851715293</v>
      </c>
      <c r="U99" s="120">
        <f>'Pseudo-load coefficients'!U289</f>
        <v>0.86046379851715293</v>
      </c>
      <c r="V99" s="120">
        <f>'Pseudo-load coefficients'!V289</f>
        <v>0.86046379851715293</v>
      </c>
      <c r="W99" s="120">
        <f>'Pseudo-load coefficients'!W289</f>
        <v>0.86046379851715293</v>
      </c>
      <c r="X99" s="120">
        <f>'Pseudo-load coefficients'!X289</f>
        <v>0.86046379851715293</v>
      </c>
      <c r="Y99" s="120">
        <f>'Pseudo-load coefficients'!Y289</f>
        <v>0.86046379851715293</v>
      </c>
      <c r="AQ99" s="3"/>
    </row>
    <row r="100" spans="5:43" x14ac:dyDescent="0.3">
      <c r="E100" s="32"/>
      <c r="F100" t="s">
        <v>198</v>
      </c>
      <c r="G100" t="s">
        <v>283</v>
      </c>
      <c r="J100" s="120">
        <f>'Pseudo-load coefficients'!J290</f>
        <v>1.4470085088521996</v>
      </c>
      <c r="K100" s="120">
        <f>'Pseudo-load coefficients'!K290</f>
        <v>1.4470085088521996</v>
      </c>
      <c r="L100" s="120">
        <f>'Pseudo-load coefficients'!L290</f>
        <v>1.3113131345365889</v>
      </c>
      <c r="M100" s="120">
        <f>'Pseudo-load coefficients'!M290</f>
        <v>1.3113131345365889</v>
      </c>
      <c r="N100" s="120">
        <f>'Pseudo-load coefficients'!N290</f>
        <v>0.96553216961340604</v>
      </c>
      <c r="O100" s="120">
        <f>'Pseudo-load coefficients'!O290</f>
        <v>0.95482164757238552</v>
      </c>
      <c r="P100" s="120">
        <f>'Pseudo-load coefficients'!P290</f>
        <v>0.87424597546939675</v>
      </c>
      <c r="Q100" s="120">
        <f>'Pseudo-load coefficients'!Q290</f>
        <v>1.3988458803739743</v>
      </c>
      <c r="R100" s="120">
        <f>'Pseudo-load coefficients'!R290</f>
        <v>0.86046379851715293</v>
      </c>
      <c r="S100" s="120">
        <f>'Pseudo-load coefficients'!S290</f>
        <v>0.86046379851715293</v>
      </c>
      <c r="T100" s="120">
        <f>'Pseudo-load coefficients'!T290</f>
        <v>0.86046379851715293</v>
      </c>
      <c r="U100" s="120">
        <f>'Pseudo-load coefficients'!U290</f>
        <v>0.86046379851715293</v>
      </c>
      <c r="V100" s="120">
        <f>'Pseudo-load coefficients'!V290</f>
        <v>0.86046379851715293</v>
      </c>
      <c r="W100" s="120">
        <f>'Pseudo-load coefficients'!W290</f>
        <v>0.86046379851715293</v>
      </c>
      <c r="X100" s="120">
        <f>'Pseudo-load coefficients'!X290</f>
        <v>0.86046379851715293</v>
      </c>
      <c r="Y100" s="120">
        <f>'Pseudo-load coefficients'!Y290</f>
        <v>0.86046379851715293</v>
      </c>
      <c r="AQ100" s="3"/>
    </row>
    <row r="101" spans="5:43" x14ac:dyDescent="0.3">
      <c r="E101" s="32"/>
      <c r="F101" s="37" t="s">
        <v>199</v>
      </c>
      <c r="G101" s="37" t="s">
        <v>283</v>
      </c>
      <c r="H101" s="37"/>
      <c r="I101" s="37"/>
      <c r="J101" s="125">
        <f>'Pseudo-load coefficients'!J291</f>
        <v>1.4470085088521996</v>
      </c>
      <c r="K101" s="125">
        <f>'Pseudo-load coefficients'!K291</f>
        <v>1.4470085088521996</v>
      </c>
      <c r="L101" s="125">
        <f>'Pseudo-load coefficients'!L291</f>
        <v>1.3113131345365889</v>
      </c>
      <c r="M101" s="125">
        <f>'Pseudo-load coefficients'!M291</f>
        <v>1.3113131345365889</v>
      </c>
      <c r="N101" s="125">
        <f>'Pseudo-load coefficients'!N291</f>
        <v>0.96553216961340604</v>
      </c>
      <c r="O101" s="125">
        <f>'Pseudo-load coefficients'!O291</f>
        <v>0.95482164757238552</v>
      </c>
      <c r="P101" s="125">
        <f>'Pseudo-load coefficients'!P291</f>
        <v>0.87424597546939675</v>
      </c>
      <c r="Q101" s="125">
        <f>'Pseudo-load coefficients'!Q291</f>
        <v>1.3988458803739743</v>
      </c>
      <c r="R101" s="125">
        <f>'Pseudo-load coefficients'!R291</f>
        <v>0.86046379851715293</v>
      </c>
      <c r="S101" s="125">
        <f>'Pseudo-load coefficients'!S291</f>
        <v>0.86046379851715293</v>
      </c>
      <c r="T101" s="125">
        <f>'Pseudo-load coefficients'!T291</f>
        <v>0.86046379851715293</v>
      </c>
      <c r="U101" s="125">
        <f>'Pseudo-load coefficients'!U291</f>
        <v>0.86046379851715293</v>
      </c>
      <c r="V101" s="125">
        <f>'Pseudo-load coefficients'!V291</f>
        <v>0.86046379851715293</v>
      </c>
      <c r="W101" s="125">
        <f>'Pseudo-load coefficients'!W291</f>
        <v>0.86046379851715293</v>
      </c>
      <c r="X101" s="125">
        <f>'Pseudo-load coefficients'!X291</f>
        <v>0.86046379851715293</v>
      </c>
      <c r="Y101" s="125">
        <f>'Pseudo-load coefficients'!Y291</f>
        <v>0.86046379851715293</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155.26280719661722</v>
      </c>
      <c r="K105" s="158">
        <f t="shared" si="10"/>
        <v>0.59468087579387252</v>
      </c>
      <c r="L105" s="158">
        <f t="shared" si="10"/>
        <v>66.714851467448455</v>
      </c>
      <c r="M105" s="158">
        <f t="shared" si="10"/>
        <v>0.32420219999443572</v>
      </c>
      <c r="N105" s="158">
        <f t="shared" si="10"/>
        <v>27.956579073874039</v>
      </c>
      <c r="O105" s="158">
        <f t="shared" si="10"/>
        <v>14.708761976856803</v>
      </c>
      <c r="P105" s="158">
        <f t="shared" si="10"/>
        <v>41.532160007436275</v>
      </c>
      <c r="Q105" s="158">
        <f t="shared" si="10"/>
        <v>4.5558847290660447</v>
      </c>
      <c r="R105" s="158">
        <f t="shared" si="10"/>
        <v>-8.6882340273761974E-2</v>
      </c>
      <c r="S105" s="158">
        <f t="shared" si="10"/>
        <v>0</v>
      </c>
      <c r="T105" s="158">
        <f t="shared" si="10"/>
        <v>-1.3618445095409746</v>
      </c>
      <c r="U105" s="158">
        <f t="shared" si="10"/>
        <v>0</v>
      </c>
      <c r="V105" s="158">
        <f t="shared" si="10"/>
        <v>-0.33449857172973974</v>
      </c>
      <c r="W105" s="158">
        <f t="shared" si="10"/>
        <v>0</v>
      </c>
      <c r="X105" s="158">
        <f t="shared" si="10"/>
        <v>-11.203584109566334</v>
      </c>
      <c r="Y105" s="158">
        <f t="shared" si="10"/>
        <v>0</v>
      </c>
      <c r="AQ105" s="3"/>
    </row>
    <row r="106" spans="5:43" x14ac:dyDescent="0.3">
      <c r="E106" s="32"/>
      <c r="F106" t="s">
        <v>192</v>
      </c>
      <c r="G106" t="s">
        <v>172</v>
      </c>
      <c r="J106" s="89">
        <f t="shared" ref="J106:Y106" si="11">J$57 * J35 * J94 / hours_in_year / $H46</f>
        <v>143.9134284956057</v>
      </c>
      <c r="K106" s="89">
        <f t="shared" si="11"/>
        <v>0.5512109773198165</v>
      </c>
      <c r="L106" s="89">
        <f t="shared" si="11"/>
        <v>61.838138699225965</v>
      </c>
      <c r="M106" s="89">
        <f t="shared" si="11"/>
        <v>0.3005037134742326</v>
      </c>
      <c r="N106" s="89">
        <f t="shared" si="11"/>
        <v>25.913013014345243</v>
      </c>
      <c r="O106" s="89">
        <f t="shared" si="11"/>
        <v>13.633582976086913</v>
      </c>
      <c r="P106" s="89">
        <f t="shared" si="11"/>
        <v>38.496248054623976</v>
      </c>
      <c r="Q106" s="89">
        <f t="shared" si="11"/>
        <v>2.9062887643825599</v>
      </c>
      <c r="R106" s="89">
        <f t="shared" si="11"/>
        <v>-8.0531427263742947E-2</v>
      </c>
      <c r="S106" s="89">
        <f t="shared" si="11"/>
        <v>0</v>
      </c>
      <c r="T106" s="89">
        <f t="shared" si="11"/>
        <v>-1.2622965923691498</v>
      </c>
      <c r="U106" s="89">
        <f t="shared" si="11"/>
        <v>0</v>
      </c>
      <c r="V106" s="89">
        <f t="shared" si="11"/>
        <v>-0.31004744248601313</v>
      </c>
      <c r="W106" s="89">
        <f t="shared" si="11"/>
        <v>0</v>
      </c>
      <c r="X106" s="89">
        <f t="shared" si="11"/>
        <v>-10.384626104336647</v>
      </c>
      <c r="Y106" s="89">
        <f t="shared" si="11"/>
        <v>0</v>
      </c>
      <c r="AQ106" s="3"/>
    </row>
    <row r="107" spans="5:43" x14ac:dyDescent="0.3">
      <c r="E107" s="32"/>
      <c r="F107" t="s">
        <v>193</v>
      </c>
      <c r="G107" t="s">
        <v>172</v>
      </c>
      <c r="J107" s="89">
        <f t="shared" ref="J107:Y107" si="12">J$57 * J36 * J95 / hours_in_year / $H47</f>
        <v>143.48340829093752</v>
      </c>
      <c r="K107" s="89">
        <f t="shared" si="12"/>
        <v>0.54956393256686886</v>
      </c>
      <c r="L107" s="89">
        <f t="shared" si="12"/>
        <v>61.653363384387639</v>
      </c>
      <c r="M107" s="89">
        <f t="shared" si="12"/>
        <v>0.29960579401166015</v>
      </c>
      <c r="N107" s="89">
        <f t="shared" si="12"/>
        <v>25.835583692589228</v>
      </c>
      <c r="O107" s="89">
        <f t="shared" si="12"/>
        <v>13.5928451783496</v>
      </c>
      <c r="P107" s="89">
        <f t="shared" si="12"/>
        <v>38.381219424978681</v>
      </c>
      <c r="Q107" s="89">
        <f t="shared" si="12"/>
        <v>2.8976046346085078</v>
      </c>
      <c r="R107" s="89">
        <f t="shared" si="12"/>
        <v>-8.0290795508970794E-2</v>
      </c>
      <c r="S107" s="89">
        <f t="shared" si="12"/>
        <v>0</v>
      </c>
      <c r="T107" s="89">
        <f t="shared" si="12"/>
        <v>-1.2585247898023095</v>
      </c>
      <c r="U107" s="89">
        <f t="shared" si="12"/>
        <v>0</v>
      </c>
      <c r="V107" s="89">
        <f t="shared" si="12"/>
        <v>-0.30912100590487956</v>
      </c>
      <c r="W107" s="89">
        <f t="shared" si="12"/>
        <v>0</v>
      </c>
      <c r="X107" s="89">
        <f t="shared" si="12"/>
        <v>-10.353596345060739</v>
      </c>
      <c r="Y107" s="89">
        <f t="shared" si="12"/>
        <v>0</v>
      </c>
      <c r="AQ107" s="3"/>
    </row>
    <row r="108" spans="5:43" x14ac:dyDescent="0.3">
      <c r="E108" s="32"/>
      <c r="F108" t="s">
        <v>194</v>
      </c>
      <c r="G108" t="s">
        <v>172</v>
      </c>
      <c r="J108" s="89">
        <f t="shared" ref="J108:Y108" si="13">J$57 * J37 * J96 / hours_in_year / $H48</f>
        <v>398.66838864716021</v>
      </c>
      <c r="K108" s="89">
        <f t="shared" si="13"/>
        <v>1.5269623858584376</v>
      </c>
      <c r="L108" s="89">
        <f t="shared" si="13"/>
        <v>171.30375789020118</v>
      </c>
      <c r="M108" s="89">
        <f t="shared" si="13"/>
        <v>0.83245415306687875</v>
      </c>
      <c r="N108" s="89">
        <f t="shared" si="13"/>
        <v>71.784122242194755</v>
      </c>
      <c r="O108" s="89">
        <f t="shared" si="13"/>
        <v>37.767695574912167</v>
      </c>
      <c r="P108" s="89">
        <f t="shared" si="13"/>
        <v>106.64214827851829</v>
      </c>
      <c r="Q108" s="89">
        <f t="shared" si="13"/>
        <v>6.1528479918015551</v>
      </c>
      <c r="R108" s="89">
        <f t="shared" si="13"/>
        <v>-0.2230878291088223</v>
      </c>
      <c r="S108" s="89">
        <f t="shared" si="13"/>
        <v>0</v>
      </c>
      <c r="T108" s="89">
        <f t="shared" si="13"/>
        <v>-3.4968088366401218</v>
      </c>
      <c r="U108" s="89">
        <f t="shared" si="13"/>
        <v>0</v>
      </c>
      <c r="V108" s="89">
        <f t="shared" si="13"/>
        <v>-0.85889215198459556</v>
      </c>
      <c r="W108" s="89">
        <f t="shared" si="13"/>
        <v>0</v>
      </c>
      <c r="X108" s="89">
        <f t="shared" si="13"/>
        <v>-28.767448590424912</v>
      </c>
      <c r="Y108" s="89">
        <f t="shared" si="13"/>
        <v>0</v>
      </c>
      <c r="AQ108" s="3"/>
    </row>
    <row r="109" spans="5:43" x14ac:dyDescent="0.3">
      <c r="E109" s="32"/>
      <c r="F109" t="s">
        <v>195</v>
      </c>
      <c r="G109" t="s">
        <v>172</v>
      </c>
      <c r="J109" s="89">
        <f t="shared" ref="J109:Y109" si="14">J$57 * J38 * J97 / hours_in_year / $H49</f>
        <v>396.7064379156289</v>
      </c>
      <c r="K109" s="89">
        <f t="shared" si="14"/>
        <v>1.5194478071878741</v>
      </c>
      <c r="L109" s="89">
        <f t="shared" si="14"/>
        <v>170.4607275856234</v>
      </c>
      <c r="M109" s="89">
        <f t="shared" si="14"/>
        <v>0.82835742987265193</v>
      </c>
      <c r="N109" s="89">
        <f t="shared" si="14"/>
        <v>71.430853924073702</v>
      </c>
      <c r="O109" s="89">
        <f t="shared" si="14"/>
        <v>37.581830931334842</v>
      </c>
      <c r="P109" s="89">
        <f t="shared" si="14"/>
        <v>106.11733455667517</v>
      </c>
      <c r="Q109" s="89">
        <f t="shared" si="14"/>
        <v>6.1225682280623728</v>
      </c>
      <c r="R109" s="89">
        <f t="shared" si="14"/>
        <v>-0.22198995593407414</v>
      </c>
      <c r="S109" s="89">
        <f t="shared" si="14"/>
        <v>0</v>
      </c>
      <c r="T109" s="89">
        <f t="shared" si="14"/>
        <v>-3.4796001317353964</v>
      </c>
      <c r="U109" s="89">
        <f t="shared" si="14"/>
        <v>0</v>
      </c>
      <c r="V109" s="89">
        <f t="shared" si="14"/>
        <v>-0.85466532052797839</v>
      </c>
      <c r="W109" s="89">
        <f t="shared" si="14"/>
        <v>0</v>
      </c>
      <c r="X109" s="89">
        <f t="shared" si="14"/>
        <v>-28.6258765009051</v>
      </c>
      <c r="Y109" s="89">
        <f t="shared" si="14"/>
        <v>0</v>
      </c>
      <c r="AQ109" s="3"/>
    </row>
    <row r="110" spans="5:43" x14ac:dyDescent="0.3">
      <c r="E110" s="32"/>
      <c r="F110" t="s">
        <v>196</v>
      </c>
      <c r="G110" t="s">
        <v>172</v>
      </c>
      <c r="J110" s="89">
        <f t="shared" ref="J110:Y110" si="15">J$57 * J39 * J98 / hours_in_year / $H50</f>
        <v>0</v>
      </c>
      <c r="K110" s="89">
        <f t="shared" si="15"/>
        <v>0</v>
      </c>
      <c r="L110" s="89">
        <f t="shared" si="15"/>
        <v>0</v>
      </c>
      <c r="M110" s="89">
        <f t="shared" si="15"/>
        <v>0</v>
      </c>
      <c r="N110" s="89">
        <f t="shared" si="15"/>
        <v>0</v>
      </c>
      <c r="O110" s="89">
        <f t="shared" si="15"/>
        <v>0</v>
      </c>
      <c r="P110" s="89">
        <f t="shared" si="15"/>
        <v>0</v>
      </c>
      <c r="Q110" s="89">
        <f t="shared" si="15"/>
        <v>0</v>
      </c>
      <c r="R110" s="89">
        <f t="shared" si="15"/>
        <v>0</v>
      </c>
      <c r="S110" s="89">
        <f t="shared" si="15"/>
        <v>0</v>
      </c>
      <c r="T110" s="89">
        <f t="shared" si="15"/>
        <v>0</v>
      </c>
      <c r="U110" s="89">
        <f t="shared" si="15"/>
        <v>0</v>
      </c>
      <c r="V110" s="89">
        <f t="shared" si="15"/>
        <v>0</v>
      </c>
      <c r="W110" s="89">
        <f t="shared" si="15"/>
        <v>0</v>
      </c>
      <c r="X110" s="89">
        <f t="shared" si="15"/>
        <v>0</v>
      </c>
      <c r="Y110" s="89">
        <f t="shared" si="15"/>
        <v>0</v>
      </c>
      <c r="AQ110" s="3"/>
    </row>
    <row r="111" spans="5:43" x14ac:dyDescent="0.3">
      <c r="E111" s="32"/>
      <c r="F111" t="s">
        <v>197</v>
      </c>
      <c r="G111" t="s">
        <v>172</v>
      </c>
      <c r="J111" s="89">
        <f t="shared" ref="J111:Y111" si="16">J$57 * J40 * J99 / hours_in_year / $H51</f>
        <v>390.17787117355181</v>
      </c>
      <c r="K111" s="89">
        <f t="shared" si="16"/>
        <v>1.4944423737685191</v>
      </c>
      <c r="L111" s="89">
        <f t="shared" si="16"/>
        <v>167.65546875798006</v>
      </c>
      <c r="M111" s="89">
        <f t="shared" si="16"/>
        <v>0.81472521660272457</v>
      </c>
      <c r="N111" s="89">
        <f t="shared" si="16"/>
        <v>70.255321962109292</v>
      </c>
      <c r="O111" s="89">
        <f t="shared" si="16"/>
        <v>36.963349686579093</v>
      </c>
      <c r="P111" s="89">
        <f t="shared" si="16"/>
        <v>104.37096990278992</v>
      </c>
      <c r="Q111" s="89">
        <f t="shared" si="16"/>
        <v>6.0218096028183652</v>
      </c>
      <c r="R111" s="89">
        <f t="shared" si="16"/>
        <v>-0.21833668463603034</v>
      </c>
      <c r="S111" s="89">
        <f t="shared" si="16"/>
        <v>0</v>
      </c>
      <c r="T111" s="89">
        <f t="shared" si="16"/>
        <v>-3.4223366252111935</v>
      </c>
      <c r="U111" s="89">
        <f t="shared" si="16"/>
        <v>0</v>
      </c>
      <c r="V111" s="89">
        <f t="shared" si="16"/>
        <v>-0.84060016036440088</v>
      </c>
      <c r="W111" s="89">
        <f t="shared" si="16"/>
        <v>0</v>
      </c>
      <c r="X111" s="89">
        <f t="shared" si="16"/>
        <v>0</v>
      </c>
      <c r="Y111" s="89">
        <f t="shared" si="16"/>
        <v>0</v>
      </c>
      <c r="AQ111" s="3"/>
    </row>
    <row r="112" spans="5:43" x14ac:dyDescent="0.3">
      <c r="E112" s="32"/>
      <c r="F112" t="s">
        <v>198</v>
      </c>
      <c r="G112" t="s">
        <v>172</v>
      </c>
      <c r="J112" s="89">
        <f t="shared" ref="J112:Y112" si="17">J$57 * J41 * J100 / hours_in_year / $H52</f>
        <v>385.32862420867968</v>
      </c>
      <c r="K112" s="89">
        <f t="shared" si="17"/>
        <v>1.4758689981863098</v>
      </c>
      <c r="L112" s="89">
        <f t="shared" si="17"/>
        <v>165.57179658412369</v>
      </c>
      <c r="M112" s="89">
        <f t="shared" si="17"/>
        <v>0.80459956859523363</v>
      </c>
      <c r="N112" s="89">
        <f t="shared" si="17"/>
        <v>69.382167865065853</v>
      </c>
      <c r="O112" s="89">
        <f t="shared" si="17"/>
        <v>36.503958151277438</v>
      </c>
      <c r="P112" s="89">
        <f t="shared" si="17"/>
        <v>0</v>
      </c>
      <c r="Q112" s="89">
        <f t="shared" si="17"/>
        <v>5.9469687568942362</v>
      </c>
      <c r="R112" s="89">
        <f t="shared" si="17"/>
        <v>-0.21562313119409113</v>
      </c>
      <c r="S112" s="89">
        <f t="shared" si="17"/>
        <v>0</v>
      </c>
      <c r="T112" s="89">
        <f t="shared" si="17"/>
        <v>-3.3798028048213791</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379.88099992674739</v>
      </c>
      <c r="K113" s="82">
        <f t="shared" si="18"/>
        <v>1.4550037437350427</v>
      </c>
      <c r="L113" s="82">
        <f t="shared" si="18"/>
        <v>163.23100775399942</v>
      </c>
      <c r="M113" s="82">
        <f t="shared" si="18"/>
        <v>0.79322445688088072</v>
      </c>
      <c r="N113" s="82">
        <f t="shared" si="18"/>
        <v>68.401270110140331</v>
      </c>
      <c r="O113" s="82">
        <f t="shared" si="18"/>
        <v>0</v>
      </c>
      <c r="P113" s="82">
        <f t="shared" si="18"/>
        <v>0</v>
      </c>
      <c r="Q113" s="82">
        <f t="shared" si="18"/>
        <v>5.8628928555243842</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192</v>
      </c>
      <c r="G117" t="s">
        <v>283</v>
      </c>
      <c r="J117" s="120">
        <f>'Pseudo-load coefficients'!J295</f>
        <v>5.2051800034248696E-2</v>
      </c>
      <c r="K117" s="120">
        <f>'Pseudo-load coefficients'!K295</f>
        <v>5.2051800034248696E-2</v>
      </c>
      <c r="L117" s="120">
        <f>'Pseudo-load coefficients'!L295</f>
        <v>4.717056509593353E-2</v>
      </c>
      <c r="M117" s="120">
        <f>'Pseudo-load coefficients'!M295</f>
        <v>4.717056509593353E-2</v>
      </c>
      <c r="N117" s="120">
        <f>'Pseudo-load coefficients'!N295</f>
        <v>3.4732129847126376E-2</v>
      </c>
      <c r="O117" s="120">
        <f>'Pseudo-load coefficients'!O295</f>
        <v>3.4346850874590246E-2</v>
      </c>
      <c r="P117" s="120">
        <f>'Pseudo-load coefficients'!P295</f>
        <v>3.1448382243430072E-2</v>
      </c>
      <c r="Q117" s="120">
        <f>'Pseudo-load coefficients'!Q295</f>
        <v>3.8974767240262574E-2</v>
      </c>
      <c r="R117" s="120">
        <f>'Pseudo-load coefficients'!R295</f>
        <v>3.0952609679297825E-2</v>
      </c>
      <c r="S117" s="120">
        <f>'Pseudo-load coefficients'!S295</f>
        <v>3.0952609679297825E-2</v>
      </c>
      <c r="T117" s="120">
        <f>'Pseudo-load coefficients'!T295</f>
        <v>3.0952609679297825E-2</v>
      </c>
      <c r="U117" s="120">
        <f>'Pseudo-load coefficients'!U295</f>
        <v>3.0952609679297825E-2</v>
      </c>
      <c r="V117" s="120">
        <f>'Pseudo-load coefficients'!V295</f>
        <v>3.0952609679297825E-2</v>
      </c>
      <c r="W117" s="120">
        <f>'Pseudo-load coefficients'!W295</f>
        <v>3.0952609679297825E-2</v>
      </c>
      <c r="X117" s="120">
        <f>'Pseudo-load coefficients'!X295</f>
        <v>3.0952609679297825E-2</v>
      </c>
      <c r="Y117" s="120">
        <f>'Pseudo-load coefficients'!Y295</f>
        <v>3.0952609679297825E-2</v>
      </c>
      <c r="AQ117" s="3"/>
    </row>
    <row r="118" spans="5:43" x14ac:dyDescent="0.3">
      <c r="E118" s="32"/>
      <c r="F118" t="s">
        <v>193</v>
      </c>
      <c r="G118" t="s">
        <v>283</v>
      </c>
      <c r="J118" s="120">
        <f>'Pseudo-load coefficients'!J296</f>
        <v>5.2051800034248696E-2</v>
      </c>
      <c r="K118" s="120">
        <f>'Pseudo-load coefficients'!K296</f>
        <v>5.2051800034248696E-2</v>
      </c>
      <c r="L118" s="120">
        <f>'Pseudo-load coefficients'!L296</f>
        <v>4.717056509593353E-2</v>
      </c>
      <c r="M118" s="120">
        <f>'Pseudo-load coefficients'!M296</f>
        <v>4.717056509593353E-2</v>
      </c>
      <c r="N118" s="120">
        <f>'Pseudo-load coefficients'!N296</f>
        <v>3.4732129847126376E-2</v>
      </c>
      <c r="O118" s="120">
        <f>'Pseudo-load coefficients'!O296</f>
        <v>3.4346850874590246E-2</v>
      </c>
      <c r="P118" s="120">
        <f>'Pseudo-load coefficients'!P296</f>
        <v>3.1448382243430072E-2</v>
      </c>
      <c r="Q118" s="120">
        <f>'Pseudo-load coefficients'!Q296</f>
        <v>3.8974767240262574E-2</v>
      </c>
      <c r="R118" s="120">
        <f>'Pseudo-load coefficients'!R296</f>
        <v>3.0952609679297825E-2</v>
      </c>
      <c r="S118" s="120">
        <f>'Pseudo-load coefficients'!S296</f>
        <v>3.0952609679297825E-2</v>
      </c>
      <c r="T118" s="120">
        <f>'Pseudo-load coefficients'!T296</f>
        <v>3.0952609679297825E-2</v>
      </c>
      <c r="U118" s="120">
        <f>'Pseudo-load coefficients'!U296</f>
        <v>3.0952609679297825E-2</v>
      </c>
      <c r="V118" s="120">
        <f>'Pseudo-load coefficients'!V296</f>
        <v>3.0952609679297825E-2</v>
      </c>
      <c r="W118" s="120">
        <f>'Pseudo-load coefficients'!W296</f>
        <v>3.0952609679297825E-2</v>
      </c>
      <c r="X118" s="120">
        <f>'Pseudo-load coefficients'!X296</f>
        <v>3.0952609679297825E-2</v>
      </c>
      <c r="Y118" s="120">
        <f>'Pseudo-load coefficients'!Y296</f>
        <v>3.0952609679297825E-2</v>
      </c>
      <c r="AQ118" s="3"/>
    </row>
    <row r="119" spans="5:43" x14ac:dyDescent="0.3">
      <c r="E119" s="32"/>
      <c r="F119" t="s">
        <v>194</v>
      </c>
      <c r="G119" t="s">
        <v>283</v>
      </c>
      <c r="J119" s="120">
        <f>'Pseudo-load coefficients'!J297</f>
        <v>0.14115856891178019</v>
      </c>
      <c r="K119" s="120">
        <f>'Pseudo-load coefficients'!K297</f>
        <v>0.14115856891178019</v>
      </c>
      <c r="L119" s="120">
        <f>'Pseudo-load coefficients'!L297</f>
        <v>0.1279212142389084</v>
      </c>
      <c r="M119" s="120">
        <f>'Pseudo-load coefficients'!M297</f>
        <v>0.1279212142389084</v>
      </c>
      <c r="N119" s="120">
        <f>'Pseudo-load coefficients'!N297</f>
        <v>9.4189590777890783E-2</v>
      </c>
      <c r="O119" s="120">
        <f>'Pseudo-load coefficients'!O297</f>
        <v>9.3144757969818498E-2</v>
      </c>
      <c r="P119" s="120">
        <f>'Pseudo-load coefficients'!P297</f>
        <v>8.5284440291254995E-2</v>
      </c>
      <c r="Q119" s="120">
        <f>'Pseudo-load coefficients'!Q297</f>
        <v>0.10569514144919633</v>
      </c>
      <c r="R119" s="120">
        <f>'Pseudo-load coefficients'!R297</f>
        <v>8.3939961414202055E-2</v>
      </c>
      <c r="S119" s="120">
        <f>'Pseudo-load coefficients'!S297</f>
        <v>8.3939961414202055E-2</v>
      </c>
      <c r="T119" s="120">
        <f>'Pseudo-load coefficients'!T297</f>
        <v>8.3939961414202055E-2</v>
      </c>
      <c r="U119" s="120">
        <f>'Pseudo-load coefficients'!U297</f>
        <v>8.3939961414202055E-2</v>
      </c>
      <c r="V119" s="120">
        <f>'Pseudo-load coefficients'!V297</f>
        <v>8.3939961414202055E-2</v>
      </c>
      <c r="W119" s="120">
        <f>'Pseudo-load coefficients'!W297</f>
        <v>8.3939961414202055E-2</v>
      </c>
      <c r="X119" s="120">
        <f>'Pseudo-load coefficients'!X297</f>
        <v>8.3939961414202055E-2</v>
      </c>
      <c r="Y119" s="120">
        <f>'Pseudo-load coefficients'!Y297</f>
        <v>8.3939961414202055E-2</v>
      </c>
      <c r="AQ119" s="3"/>
    </row>
    <row r="120" spans="5:43" x14ac:dyDescent="0.3">
      <c r="E120" s="32"/>
      <c r="F120" t="s">
        <v>195</v>
      </c>
      <c r="G120" t="s">
        <v>283</v>
      </c>
      <c r="J120" s="120">
        <f>'Pseudo-load coefficients'!J298</f>
        <v>0.14115856891178019</v>
      </c>
      <c r="K120" s="120">
        <f>'Pseudo-load coefficients'!K298</f>
        <v>0.14115856891178019</v>
      </c>
      <c r="L120" s="120">
        <f>'Pseudo-load coefficients'!L298</f>
        <v>0.1279212142389084</v>
      </c>
      <c r="M120" s="120">
        <f>'Pseudo-load coefficients'!M298</f>
        <v>0.1279212142389084</v>
      </c>
      <c r="N120" s="120">
        <f>'Pseudo-load coefficients'!N298</f>
        <v>9.4189590777890783E-2</v>
      </c>
      <c r="O120" s="120">
        <f>'Pseudo-load coefficients'!O298</f>
        <v>9.3144757969818498E-2</v>
      </c>
      <c r="P120" s="120">
        <f>'Pseudo-load coefficients'!P298</f>
        <v>8.5284440291254995E-2</v>
      </c>
      <c r="Q120" s="120">
        <f>'Pseudo-load coefficients'!Q298</f>
        <v>0.10569514144919633</v>
      </c>
      <c r="R120" s="120">
        <f>'Pseudo-load coefficients'!R298</f>
        <v>8.3939961414202055E-2</v>
      </c>
      <c r="S120" s="120">
        <f>'Pseudo-load coefficients'!S298</f>
        <v>8.3939961414202055E-2</v>
      </c>
      <c r="T120" s="120">
        <f>'Pseudo-load coefficients'!T298</f>
        <v>8.3939961414202055E-2</v>
      </c>
      <c r="U120" s="120">
        <f>'Pseudo-load coefficients'!U298</f>
        <v>8.3939961414202055E-2</v>
      </c>
      <c r="V120" s="120">
        <f>'Pseudo-load coefficients'!V298</f>
        <v>8.3939961414202055E-2</v>
      </c>
      <c r="W120" s="120">
        <f>'Pseudo-load coefficients'!W298</f>
        <v>8.3939961414202055E-2</v>
      </c>
      <c r="X120" s="120">
        <f>'Pseudo-load coefficients'!X298</f>
        <v>8.3939961414202055E-2</v>
      </c>
      <c r="Y120" s="120">
        <f>'Pseudo-load coefficients'!Y298</f>
        <v>8.3939961414202055E-2</v>
      </c>
      <c r="AQ120" s="3"/>
    </row>
    <row r="121" spans="5:43" x14ac:dyDescent="0.3">
      <c r="E121" s="32"/>
      <c r="F121" t="s">
        <v>196</v>
      </c>
      <c r="G121" t="s">
        <v>283</v>
      </c>
      <c r="J121" s="120">
        <f>'Pseudo-load coefficients'!J299</f>
        <v>5.2051800034248696E-2</v>
      </c>
      <c r="K121" s="120">
        <f>'Pseudo-load coefficients'!K299</f>
        <v>5.2051800034248696E-2</v>
      </c>
      <c r="L121" s="120">
        <f>'Pseudo-load coefficients'!L299</f>
        <v>4.717056509593353E-2</v>
      </c>
      <c r="M121" s="120">
        <f>'Pseudo-load coefficients'!M299</f>
        <v>4.717056509593353E-2</v>
      </c>
      <c r="N121" s="120">
        <f>'Pseudo-load coefficients'!N299</f>
        <v>3.4732129847126376E-2</v>
      </c>
      <c r="O121" s="120">
        <f>'Pseudo-load coefficients'!O299</f>
        <v>3.4346850874590246E-2</v>
      </c>
      <c r="P121" s="120">
        <f>'Pseudo-load coefficients'!P299</f>
        <v>3.1448382243430072E-2</v>
      </c>
      <c r="Q121" s="120">
        <f>'Pseudo-load coefficients'!Q299</f>
        <v>3.8974767240262574E-2</v>
      </c>
      <c r="R121" s="120">
        <f>'Pseudo-load coefficients'!R299</f>
        <v>3.0952609679297825E-2</v>
      </c>
      <c r="S121" s="120">
        <f>'Pseudo-load coefficients'!S299</f>
        <v>3.0952609679297825E-2</v>
      </c>
      <c r="T121" s="120">
        <f>'Pseudo-load coefficients'!T299</f>
        <v>3.0952609679297825E-2</v>
      </c>
      <c r="U121" s="120">
        <f>'Pseudo-load coefficients'!U299</f>
        <v>3.0952609679297825E-2</v>
      </c>
      <c r="V121" s="120">
        <f>'Pseudo-load coefficients'!V299</f>
        <v>3.0952609679297825E-2</v>
      </c>
      <c r="W121" s="120">
        <f>'Pseudo-load coefficients'!W299</f>
        <v>3.0952609679297825E-2</v>
      </c>
      <c r="X121" s="120">
        <f>'Pseudo-load coefficients'!X299</f>
        <v>3.0952609679297825E-2</v>
      </c>
      <c r="Y121" s="120">
        <f>'Pseudo-load coefficients'!Y299</f>
        <v>3.0952609679297825E-2</v>
      </c>
      <c r="AQ121" s="3"/>
    </row>
    <row r="122" spans="5:43" x14ac:dyDescent="0.3">
      <c r="E122" s="32"/>
      <c r="F122" t="s">
        <v>197</v>
      </c>
      <c r="G122" t="s">
        <v>283</v>
      </c>
      <c r="J122" s="120">
        <f>'Pseudo-load coefficients'!J300</f>
        <v>0.14115856891178019</v>
      </c>
      <c r="K122" s="120">
        <f>'Pseudo-load coefficients'!K300</f>
        <v>0.14115856891178019</v>
      </c>
      <c r="L122" s="120">
        <f>'Pseudo-load coefficients'!L300</f>
        <v>0.1279212142389084</v>
      </c>
      <c r="M122" s="120">
        <f>'Pseudo-load coefficients'!M300</f>
        <v>0.1279212142389084</v>
      </c>
      <c r="N122" s="120">
        <f>'Pseudo-load coefficients'!N300</f>
        <v>9.4189590777890783E-2</v>
      </c>
      <c r="O122" s="120">
        <f>'Pseudo-load coefficients'!O300</f>
        <v>9.3144757969818498E-2</v>
      </c>
      <c r="P122" s="120">
        <f>'Pseudo-load coefficients'!P300</f>
        <v>8.5284440291254995E-2</v>
      </c>
      <c r="Q122" s="120">
        <f>'Pseudo-load coefficients'!Q300</f>
        <v>0.10569514144919633</v>
      </c>
      <c r="R122" s="120">
        <f>'Pseudo-load coefficients'!R300</f>
        <v>8.3939961414202055E-2</v>
      </c>
      <c r="S122" s="120">
        <f>'Pseudo-load coefficients'!S300</f>
        <v>8.3939961414202055E-2</v>
      </c>
      <c r="T122" s="120">
        <f>'Pseudo-load coefficients'!T300</f>
        <v>8.3939961414202055E-2</v>
      </c>
      <c r="U122" s="120">
        <f>'Pseudo-load coefficients'!U300</f>
        <v>8.3939961414202055E-2</v>
      </c>
      <c r="V122" s="120">
        <f>'Pseudo-load coefficients'!V300</f>
        <v>8.3939961414202055E-2</v>
      </c>
      <c r="W122" s="120">
        <f>'Pseudo-load coefficients'!W300</f>
        <v>8.3939961414202055E-2</v>
      </c>
      <c r="X122" s="120">
        <f>'Pseudo-load coefficients'!X300</f>
        <v>8.3939961414202055E-2</v>
      </c>
      <c r="Y122" s="120">
        <f>'Pseudo-load coefficients'!Y300</f>
        <v>8.3939961414202055E-2</v>
      </c>
      <c r="AQ122" s="3"/>
    </row>
    <row r="123" spans="5:43" x14ac:dyDescent="0.3">
      <c r="E123" s="32"/>
      <c r="F123" t="s">
        <v>198</v>
      </c>
      <c r="G123" t="s">
        <v>283</v>
      </c>
      <c r="J123" s="120">
        <f>'Pseudo-load coefficients'!J301</f>
        <v>0.14115856891178019</v>
      </c>
      <c r="K123" s="120">
        <f>'Pseudo-load coefficients'!K301</f>
        <v>0.14115856891178019</v>
      </c>
      <c r="L123" s="120">
        <f>'Pseudo-load coefficients'!L301</f>
        <v>0.1279212142389084</v>
      </c>
      <c r="M123" s="120">
        <f>'Pseudo-load coefficients'!M301</f>
        <v>0.1279212142389084</v>
      </c>
      <c r="N123" s="120">
        <f>'Pseudo-load coefficients'!N301</f>
        <v>9.4189590777890783E-2</v>
      </c>
      <c r="O123" s="120">
        <f>'Pseudo-load coefficients'!O301</f>
        <v>9.3144757969818498E-2</v>
      </c>
      <c r="P123" s="120">
        <f>'Pseudo-load coefficients'!P301</f>
        <v>8.5284440291254995E-2</v>
      </c>
      <c r="Q123" s="120">
        <f>'Pseudo-load coefficients'!Q301</f>
        <v>0.10569514144919633</v>
      </c>
      <c r="R123" s="120">
        <f>'Pseudo-load coefficients'!R301</f>
        <v>8.3939961414202055E-2</v>
      </c>
      <c r="S123" s="120">
        <f>'Pseudo-load coefficients'!S301</f>
        <v>8.3939961414202055E-2</v>
      </c>
      <c r="T123" s="120">
        <f>'Pseudo-load coefficients'!T301</f>
        <v>8.3939961414202055E-2</v>
      </c>
      <c r="U123" s="120">
        <f>'Pseudo-load coefficients'!U301</f>
        <v>8.3939961414202055E-2</v>
      </c>
      <c r="V123" s="120">
        <f>'Pseudo-load coefficients'!V301</f>
        <v>8.3939961414202055E-2</v>
      </c>
      <c r="W123" s="120">
        <f>'Pseudo-load coefficients'!W301</f>
        <v>8.3939961414202055E-2</v>
      </c>
      <c r="X123" s="120">
        <f>'Pseudo-load coefficients'!X301</f>
        <v>8.3939961414202055E-2</v>
      </c>
      <c r="Y123" s="120">
        <f>'Pseudo-load coefficients'!Y301</f>
        <v>8.3939961414202055E-2</v>
      </c>
      <c r="AQ123" s="3"/>
    </row>
    <row r="124" spans="5:43" x14ac:dyDescent="0.3">
      <c r="E124" s="32"/>
      <c r="F124" s="37" t="s">
        <v>199</v>
      </c>
      <c r="G124" s="37" t="s">
        <v>283</v>
      </c>
      <c r="H124" s="37"/>
      <c r="I124" s="37"/>
      <c r="J124" s="125">
        <f>'Pseudo-load coefficients'!J302</f>
        <v>0.14115856891178019</v>
      </c>
      <c r="K124" s="125">
        <f>'Pseudo-load coefficients'!K302</f>
        <v>0.14115856891178019</v>
      </c>
      <c r="L124" s="125">
        <f>'Pseudo-load coefficients'!L302</f>
        <v>0.1279212142389084</v>
      </c>
      <c r="M124" s="125">
        <f>'Pseudo-load coefficients'!M302</f>
        <v>0.1279212142389084</v>
      </c>
      <c r="N124" s="125">
        <f>'Pseudo-load coefficients'!N302</f>
        <v>9.4189590777890783E-2</v>
      </c>
      <c r="O124" s="125">
        <f>'Pseudo-load coefficients'!O302</f>
        <v>9.3144757969818498E-2</v>
      </c>
      <c r="P124" s="125">
        <f>'Pseudo-load coefficients'!P302</f>
        <v>8.5284440291254995E-2</v>
      </c>
      <c r="Q124" s="125">
        <f>'Pseudo-load coefficients'!Q302</f>
        <v>0.10569514144919633</v>
      </c>
      <c r="R124" s="125">
        <f>'Pseudo-load coefficients'!R302</f>
        <v>8.3939961414202055E-2</v>
      </c>
      <c r="S124" s="125">
        <f>'Pseudo-load coefficients'!S302</f>
        <v>8.3939961414202055E-2</v>
      </c>
      <c r="T124" s="125">
        <f>'Pseudo-load coefficients'!T302</f>
        <v>8.3939961414202055E-2</v>
      </c>
      <c r="U124" s="125">
        <f>'Pseudo-load coefficients'!U302</f>
        <v>8.3939961414202055E-2</v>
      </c>
      <c r="V124" s="125">
        <f>'Pseudo-load coefficients'!V302</f>
        <v>8.3939961414202055E-2</v>
      </c>
      <c r="W124" s="125">
        <f>'Pseudo-load coefficients'!W302</f>
        <v>8.3939961414202055E-2</v>
      </c>
      <c r="X124" s="125">
        <f>'Pseudo-load coefficients'!X302</f>
        <v>8.3939961414202055E-2</v>
      </c>
      <c r="Y124" s="125">
        <f>'Pseudo-load coefficients'!Y302</f>
        <v>8.3939961414202055E-2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192</v>
      </c>
      <c r="G129" t="s">
        <v>172</v>
      </c>
      <c r="J129" s="89">
        <f t="shared" ref="J129:Y129" si="20">J$58 * J35 * J117 / hours_in_year / $H46</f>
        <v>16.39659973544105</v>
      </c>
      <c r="K129" s="89">
        <f t="shared" si="20"/>
        <v>0.18163696035700033</v>
      </c>
      <c r="L129" s="89">
        <f t="shared" si="20"/>
        <v>4.9755927074749451</v>
      </c>
      <c r="M129" s="89">
        <f t="shared" si="20"/>
        <v>6.6744629284399143E-2</v>
      </c>
      <c r="N129" s="89">
        <f t="shared" si="20"/>
        <v>2.2362110783533753</v>
      </c>
      <c r="O129" s="89">
        <f t="shared" si="20"/>
        <v>1.3322206209973078</v>
      </c>
      <c r="P129" s="89">
        <f t="shared" si="20"/>
        <v>4.2889454394316315</v>
      </c>
      <c r="Q129" s="89">
        <f t="shared" si="20"/>
        <v>0.36698730684615716</v>
      </c>
      <c r="R129" s="89">
        <f t="shared" si="20"/>
        <v>-3.4572538715487945E-3</v>
      </c>
      <c r="S129" s="89">
        <f t="shared" si="20"/>
        <v>0</v>
      </c>
      <c r="T129" s="89">
        <f t="shared" si="20"/>
        <v>-0.1090223376941878</v>
      </c>
      <c r="U129" s="89">
        <f t="shared" si="20"/>
        <v>0</v>
      </c>
      <c r="V129" s="89">
        <f t="shared" si="20"/>
        <v>-3.0782591031451988E-2</v>
      </c>
      <c r="W129" s="89">
        <f t="shared" si="20"/>
        <v>0</v>
      </c>
      <c r="X129" s="89">
        <f t="shared" si="20"/>
        <v>-0.858281969778809</v>
      </c>
      <c r="Y129" s="89">
        <f t="shared" si="20"/>
        <v>0</v>
      </c>
      <c r="AQ129" s="3"/>
    </row>
    <row r="130" spans="3:43" x14ac:dyDescent="0.3">
      <c r="E130" s="32"/>
      <c r="F130" t="s">
        <v>193</v>
      </c>
      <c r="G130" t="s">
        <v>172</v>
      </c>
      <c r="J130" s="89">
        <f t="shared" ref="J130:Y130" si="21">J$58 * J36 * J118 / hours_in_year / $H47</f>
        <v>16.347605911530369</v>
      </c>
      <c r="K130" s="89">
        <f t="shared" si="21"/>
        <v>0.18109422043561485</v>
      </c>
      <c r="L130" s="89">
        <f t="shared" si="21"/>
        <v>4.9607253985880666</v>
      </c>
      <c r="M130" s="89">
        <f t="shared" si="21"/>
        <v>6.6545193141119063E-2</v>
      </c>
      <c r="N130" s="89">
        <f t="shared" si="21"/>
        <v>2.2295291727407651</v>
      </c>
      <c r="O130" s="89">
        <f t="shared" si="21"/>
        <v>1.328239882089945</v>
      </c>
      <c r="P130" s="89">
        <f t="shared" si="21"/>
        <v>4.2761298654094251</v>
      </c>
      <c r="Q130" s="89">
        <f t="shared" si="21"/>
        <v>0.3658907312280909</v>
      </c>
      <c r="R130" s="89">
        <f t="shared" si="21"/>
        <v>-3.4469234316935687E-3</v>
      </c>
      <c r="S130" s="89">
        <f t="shared" si="21"/>
        <v>0</v>
      </c>
      <c r="T130" s="89">
        <f t="shared" si="21"/>
        <v>-0.10869657373693424</v>
      </c>
      <c r="U130" s="89">
        <f t="shared" si="21"/>
        <v>0</v>
      </c>
      <c r="V130" s="89">
        <f t="shared" si="21"/>
        <v>-3.0690611177772349E-2</v>
      </c>
      <c r="W130" s="89">
        <f t="shared" si="21"/>
        <v>0</v>
      </c>
      <c r="X130" s="89">
        <f t="shared" si="21"/>
        <v>-0.85571738221970883</v>
      </c>
      <c r="Y130" s="89">
        <f t="shared" si="21"/>
        <v>0</v>
      </c>
      <c r="AQ130" s="3"/>
    </row>
    <row r="131" spans="3:43" x14ac:dyDescent="0.3">
      <c r="E131" s="32"/>
      <c r="F131" t="s">
        <v>194</v>
      </c>
      <c r="G131" t="s">
        <v>172</v>
      </c>
      <c r="J131" s="89">
        <f t="shared" ref="J131:Y131" si="22">J$58 * J37 * J119 / hours_in_year / $H48</f>
        <v>44.025896775744208</v>
      </c>
      <c r="K131" s="89">
        <f t="shared" si="22"/>
        <v>0.4877066096852023</v>
      </c>
      <c r="L131" s="89">
        <f t="shared" si="22"/>
        <v>13.359777909559687</v>
      </c>
      <c r="M131" s="89">
        <f t="shared" si="22"/>
        <v>0.17921350808233466</v>
      </c>
      <c r="N131" s="89">
        <f t="shared" si="22"/>
        <v>6.0043667402309184</v>
      </c>
      <c r="O131" s="89">
        <f t="shared" si="22"/>
        <v>3.5770957691776353</v>
      </c>
      <c r="P131" s="89">
        <f t="shared" si="22"/>
        <v>11.516087008276092</v>
      </c>
      <c r="Q131" s="89">
        <f t="shared" si="22"/>
        <v>0.98538389360656531</v>
      </c>
      <c r="R131" s="89">
        <f t="shared" si="22"/>
        <v>-9.282943081628808E-3</v>
      </c>
      <c r="S131" s="89">
        <f t="shared" si="22"/>
        <v>0</v>
      </c>
      <c r="T131" s="89">
        <f t="shared" si="22"/>
        <v>-0.29273180189914116</v>
      </c>
      <c r="U131" s="89">
        <f t="shared" si="22"/>
        <v>0</v>
      </c>
      <c r="V131" s="89">
        <f t="shared" si="22"/>
        <v>-8.2653184020302625E-2</v>
      </c>
      <c r="W131" s="89">
        <f t="shared" si="22"/>
        <v>0</v>
      </c>
      <c r="X131" s="89">
        <f t="shared" si="22"/>
        <v>-2.3045408203927127</v>
      </c>
      <c r="Y131" s="89">
        <f t="shared" si="22"/>
        <v>0</v>
      </c>
      <c r="AQ131" s="3"/>
    </row>
    <row r="132" spans="3:43" x14ac:dyDescent="0.3">
      <c r="E132" s="32"/>
      <c r="F132" t="s">
        <v>195</v>
      </c>
      <c r="G132" t="s">
        <v>172</v>
      </c>
      <c r="J132" s="89">
        <f t="shared" ref="J132:Y132" si="23">J$58 * J38 * J120 / hours_in_year / $H49</f>
        <v>43.809233897910815</v>
      </c>
      <c r="K132" s="89">
        <f t="shared" si="23"/>
        <v>0.48530647873202704</v>
      </c>
      <c r="L132" s="89">
        <f t="shared" si="23"/>
        <v>13.294030971028388</v>
      </c>
      <c r="M132" s="89">
        <f t="shared" si="23"/>
        <v>0.17833155184177196</v>
      </c>
      <c r="N132" s="89">
        <f t="shared" si="23"/>
        <v>5.9748176913124587</v>
      </c>
      <c r="O132" s="89">
        <f t="shared" si="23"/>
        <v>3.559491951415934</v>
      </c>
      <c r="P132" s="89">
        <f t="shared" si="23"/>
        <v>11.459413351739299</v>
      </c>
      <c r="Q132" s="89">
        <f t="shared" si="23"/>
        <v>0.98053456342149348</v>
      </c>
      <c r="R132" s="89">
        <f t="shared" si="23"/>
        <v>-9.2372593066207907E-3</v>
      </c>
      <c r="S132" s="89">
        <f t="shared" si="23"/>
        <v>0</v>
      </c>
      <c r="T132" s="89">
        <f t="shared" si="23"/>
        <v>-0.29129119263782643</v>
      </c>
      <c r="U132" s="89">
        <f t="shared" si="23"/>
        <v>0</v>
      </c>
      <c r="V132" s="89">
        <f t="shared" si="23"/>
        <v>-8.2246426224927116E-2</v>
      </c>
      <c r="W132" s="89">
        <f t="shared" si="23"/>
        <v>0</v>
      </c>
      <c r="X132" s="89">
        <f t="shared" si="23"/>
        <v>-2.2931995761978663</v>
      </c>
      <c r="Y132" s="89">
        <f t="shared" si="23"/>
        <v>0</v>
      </c>
      <c r="AQ132" s="3"/>
    </row>
    <row r="133" spans="3:43" x14ac:dyDescent="0.3">
      <c r="E133" s="32"/>
      <c r="F133" t="s">
        <v>196</v>
      </c>
      <c r="G133" t="s">
        <v>172</v>
      </c>
      <c r="J133" s="89">
        <f t="shared" ref="J133:Y133" si="24">J$58 * J39 * J121 / hours_in_year / $H50</f>
        <v>0</v>
      </c>
      <c r="K133" s="89">
        <f t="shared" si="24"/>
        <v>0</v>
      </c>
      <c r="L133" s="89">
        <f t="shared" si="24"/>
        <v>0</v>
      </c>
      <c r="M133" s="89">
        <f t="shared" si="24"/>
        <v>0</v>
      </c>
      <c r="N133" s="89">
        <f t="shared" si="24"/>
        <v>0</v>
      </c>
      <c r="O133" s="89">
        <f t="shared" si="24"/>
        <v>0</v>
      </c>
      <c r="P133" s="89">
        <f t="shared" si="24"/>
        <v>0</v>
      </c>
      <c r="Q133" s="89">
        <f t="shared" si="24"/>
        <v>0</v>
      </c>
      <c r="R133" s="89">
        <f t="shared" si="24"/>
        <v>0</v>
      </c>
      <c r="S133" s="89">
        <f t="shared" si="24"/>
        <v>0</v>
      </c>
      <c r="T133" s="89">
        <f t="shared" si="24"/>
        <v>0</v>
      </c>
      <c r="U133" s="89">
        <f t="shared" si="24"/>
        <v>0</v>
      </c>
      <c r="V133" s="89">
        <f t="shared" si="24"/>
        <v>0</v>
      </c>
      <c r="W133" s="89">
        <f t="shared" si="24"/>
        <v>0</v>
      </c>
      <c r="X133" s="89">
        <f t="shared" si="24"/>
        <v>0</v>
      </c>
      <c r="Y133" s="89">
        <f t="shared" si="24"/>
        <v>0</v>
      </c>
      <c r="AQ133" s="3"/>
    </row>
    <row r="134" spans="3:43" x14ac:dyDescent="0.3">
      <c r="E134" s="32"/>
      <c r="F134" t="s">
        <v>197</v>
      </c>
      <c r="G134" t="s">
        <v>172</v>
      </c>
      <c r="J134" s="89">
        <f t="shared" ref="J134:Y134" si="25">J$58 * J40 * J122 / hours_in_year / $H51</f>
        <v>43.088268770839683</v>
      </c>
      <c r="K134" s="89">
        <f t="shared" si="25"/>
        <v>0.47731982806557555</v>
      </c>
      <c r="L134" s="89">
        <f t="shared" si="25"/>
        <v>13.075252145754931</v>
      </c>
      <c r="M134" s="89">
        <f t="shared" si="25"/>
        <v>0.17539676347651534</v>
      </c>
      <c r="N134" s="89">
        <f t="shared" si="25"/>
        <v>5.8764905850662714</v>
      </c>
      <c r="O134" s="89">
        <f t="shared" si="25"/>
        <v>3.5009136714797573</v>
      </c>
      <c r="P134" s="89">
        <f t="shared" si="25"/>
        <v>11.270826684769727</v>
      </c>
      <c r="Q134" s="89">
        <f t="shared" si="25"/>
        <v>0.96439798299732571</v>
      </c>
      <c r="R134" s="89">
        <f t="shared" si="25"/>
        <v>-9.0852424545273223E-3</v>
      </c>
      <c r="S134" s="89">
        <f t="shared" si="25"/>
        <v>0</v>
      </c>
      <c r="T134" s="89">
        <f t="shared" si="25"/>
        <v>-0.28649743632142471</v>
      </c>
      <c r="U134" s="89">
        <f t="shared" si="25"/>
        <v>0</v>
      </c>
      <c r="V134" s="89">
        <f t="shared" si="25"/>
        <v>-8.0892903237682431E-2</v>
      </c>
      <c r="W134" s="89">
        <f t="shared" si="25"/>
        <v>0</v>
      </c>
      <c r="X134" s="89">
        <f t="shared" si="25"/>
        <v>0</v>
      </c>
      <c r="Y134" s="89">
        <f t="shared" si="25"/>
        <v>0</v>
      </c>
      <c r="AQ134" s="3"/>
    </row>
    <row r="135" spans="3:43" x14ac:dyDescent="0.3">
      <c r="E135" s="32"/>
      <c r="F135" t="s">
        <v>198</v>
      </c>
      <c r="G135" t="s">
        <v>172</v>
      </c>
      <c r="J135" s="89">
        <f t="shared" ref="J135:Y135" si="26">J$58 * J41 * J123 / hours_in_year / $H52</f>
        <v>42.552754914223122</v>
      </c>
      <c r="K135" s="89">
        <f t="shared" si="26"/>
        <v>0.47138755486781975</v>
      </c>
      <c r="L135" s="89">
        <f t="shared" si="26"/>
        <v>12.912749012012277</v>
      </c>
      <c r="M135" s="89">
        <f t="shared" si="26"/>
        <v>0.17321688018283013</v>
      </c>
      <c r="N135" s="89">
        <f t="shared" si="26"/>
        <v>5.8034558072403994</v>
      </c>
      <c r="O135" s="89">
        <f t="shared" si="26"/>
        <v>3.4574032721210219</v>
      </c>
      <c r="P135" s="89">
        <f t="shared" si="26"/>
        <v>0</v>
      </c>
      <c r="Q135" s="89">
        <f t="shared" si="26"/>
        <v>0.95241215720481587</v>
      </c>
      <c r="R135" s="89">
        <f t="shared" si="26"/>
        <v>-8.9723283513639795E-3</v>
      </c>
      <c r="S135" s="89">
        <f t="shared" si="26"/>
        <v>0</v>
      </c>
      <c r="T135" s="89">
        <f t="shared" si="26"/>
        <v>-0.28293676072660773</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41.951160829667664</v>
      </c>
      <c r="K136" s="82">
        <f t="shared" si="27"/>
        <v>0.46472326332868946</v>
      </c>
      <c r="L136" s="82">
        <f t="shared" si="27"/>
        <v>12.730193653689767</v>
      </c>
      <c r="M136" s="82">
        <f t="shared" si="27"/>
        <v>0.17076800817270529</v>
      </c>
      <c r="N136" s="82">
        <f t="shared" si="27"/>
        <v>5.72140883541325</v>
      </c>
      <c r="O136" s="82">
        <f t="shared" si="27"/>
        <v>0</v>
      </c>
      <c r="P136" s="82">
        <f t="shared" si="27"/>
        <v>0</v>
      </c>
      <c r="Q136" s="82">
        <f t="shared" si="27"/>
        <v>0.9389473293461239</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1341.4311302844171</v>
      </c>
      <c r="K142" s="158">
        <f t="shared" si="28"/>
        <v>1.0857400628867273</v>
      </c>
      <c r="L142" s="158">
        <f t="shared" si="28"/>
        <v>423.52187804495316</v>
      </c>
      <c r="M142" s="158">
        <f t="shared" si="28"/>
        <v>0.74590397249374285</v>
      </c>
      <c r="N142" s="158">
        <f t="shared" si="28"/>
        <v>199.87948963266234</v>
      </c>
      <c r="O142" s="158">
        <f t="shared" si="28"/>
        <v>102.64143806131474</v>
      </c>
      <c r="P142" s="158">
        <f t="shared" si="28"/>
        <v>296.38714341971394</v>
      </c>
      <c r="Q142" s="158">
        <f t="shared" si="28"/>
        <v>22.575807707717487</v>
      </c>
      <c r="R142" s="158">
        <f t="shared" si="28"/>
        <v>-0.46435932152230391</v>
      </c>
      <c r="S142" s="158">
        <f t="shared" si="28"/>
        <v>0</v>
      </c>
      <c r="T142" s="158">
        <f t="shared" si="28"/>
        <v>-8.2151070361315313</v>
      </c>
      <c r="U142" s="158">
        <f t="shared" si="28"/>
        <v>0</v>
      </c>
      <c r="V142" s="158">
        <f t="shared" si="28"/>
        <v>-2.0944115187082502</v>
      </c>
      <c r="W142" s="158">
        <f t="shared" si="28"/>
        <v>0</v>
      </c>
      <c r="X142" s="158">
        <f t="shared" si="28"/>
        <v>-69.363102270225298</v>
      </c>
      <c r="Y142" s="158">
        <f t="shared" si="28"/>
        <v>0</v>
      </c>
      <c r="AQ142" s="3"/>
    </row>
    <row r="143" spans="3:43" x14ac:dyDescent="0.3">
      <c r="C143" s="32"/>
      <c r="F143" t="s">
        <v>192</v>
      </c>
      <c r="G143" t="s">
        <v>172</v>
      </c>
      <c r="J143" s="89">
        <f t="shared" ref="J143:Y143" si="29">J83 + J106 + J129</f>
        <v>1335.0277731625119</v>
      </c>
      <c r="K143" s="89">
        <f t="shared" si="29"/>
        <v>1.2191667253746217</v>
      </c>
      <c r="L143" s="89">
        <f t="shared" si="29"/>
        <v>420.17635075714401</v>
      </c>
      <c r="M143" s="89">
        <f t="shared" si="29"/>
        <v>0.78487925194901309</v>
      </c>
      <c r="N143" s="89">
        <f t="shared" si="29"/>
        <v>198.41249100235174</v>
      </c>
      <c r="O143" s="89">
        <f t="shared" si="29"/>
        <v>102.04962883937866</v>
      </c>
      <c r="P143" s="89">
        <f t="shared" si="29"/>
        <v>295.17995532623155</v>
      </c>
      <c r="Q143" s="89">
        <f t="shared" si="29"/>
        <v>24.372390504936636</v>
      </c>
      <c r="R143" s="89">
        <f t="shared" si="29"/>
        <v>-0.45782171945273947</v>
      </c>
      <c r="S143" s="89">
        <f t="shared" si="29"/>
        <v>0</v>
      </c>
      <c r="T143" s="89">
        <f t="shared" si="29"/>
        <v>-8.1584240516219317</v>
      </c>
      <c r="U143" s="89">
        <f t="shared" si="29"/>
        <v>0</v>
      </c>
      <c r="V143" s="89">
        <f t="shared" si="29"/>
        <v>-2.0837538058944625</v>
      </c>
      <c r="W143" s="89">
        <f t="shared" si="29"/>
        <v>0</v>
      </c>
      <c r="X143" s="89">
        <f t="shared" si="29"/>
        <v>-68.840988119060981</v>
      </c>
      <c r="Y143" s="89">
        <f t="shared" si="29"/>
        <v>0</v>
      </c>
      <c r="AQ143" s="3"/>
    </row>
    <row r="144" spans="3:43" x14ac:dyDescent="0.3">
      <c r="C144" s="32"/>
      <c r="F144" t="s">
        <v>193</v>
      </c>
      <c r="G144" t="s">
        <v>172</v>
      </c>
      <c r="J144" s="89">
        <f t="shared" ref="J144:Y144" si="30">J84 + J107 + J130</f>
        <v>1331.038646350273</v>
      </c>
      <c r="K144" s="89">
        <f t="shared" si="30"/>
        <v>1.2155237969123469</v>
      </c>
      <c r="L144" s="89">
        <f t="shared" si="30"/>
        <v>418.92084373296922</v>
      </c>
      <c r="M144" s="89">
        <f t="shared" si="30"/>
        <v>0.7825339952200816</v>
      </c>
      <c r="N144" s="89">
        <f t="shared" si="30"/>
        <v>197.81962499338059</v>
      </c>
      <c r="O144" s="89">
        <f t="shared" si="30"/>
        <v>101.74469966953987</v>
      </c>
      <c r="P144" s="89">
        <f t="shared" si="30"/>
        <v>294.29794350752763</v>
      </c>
      <c r="Q144" s="89">
        <f t="shared" si="30"/>
        <v>24.299564636893997</v>
      </c>
      <c r="R144" s="89">
        <f t="shared" si="30"/>
        <v>-0.45645372626712366</v>
      </c>
      <c r="S144" s="89">
        <f t="shared" si="30"/>
        <v>0</v>
      </c>
      <c r="T144" s="89">
        <f t="shared" si="30"/>
        <v>-8.1340462905115043</v>
      </c>
      <c r="U144" s="89">
        <f t="shared" si="30"/>
        <v>0</v>
      </c>
      <c r="V144" s="89">
        <f t="shared" si="30"/>
        <v>-2.077527449900753</v>
      </c>
      <c r="W144" s="89">
        <f t="shared" si="30"/>
        <v>0</v>
      </c>
      <c r="X144" s="89">
        <f t="shared" si="30"/>
        <v>-68.635287955358606</v>
      </c>
      <c r="Y144" s="89">
        <f t="shared" si="30"/>
        <v>0</v>
      </c>
      <c r="AQ144" s="3"/>
    </row>
    <row r="145" spans="3:43" x14ac:dyDescent="0.3">
      <c r="C145" s="32"/>
      <c r="F145" t="s">
        <v>194</v>
      </c>
      <c r="G145" t="s">
        <v>172</v>
      </c>
      <c r="J145" s="89">
        <f t="shared" ref="J145:Y145" si="31">J85 + J108 + J131</f>
        <v>1273.4105590644019</v>
      </c>
      <c r="K145" s="89">
        <f t="shared" si="31"/>
        <v>2.3585753788951065</v>
      </c>
      <c r="L145" s="89">
        <f t="shared" si="31"/>
        <v>434.54830995725411</v>
      </c>
      <c r="M145" s="89">
        <f t="shared" si="31"/>
        <v>1.3070005563379081</v>
      </c>
      <c r="N145" s="89">
        <f t="shared" si="31"/>
        <v>198.19227724176329</v>
      </c>
      <c r="O145" s="89">
        <f t="shared" si="31"/>
        <v>102.92720219287351</v>
      </c>
      <c r="P145" s="89">
        <f t="shared" si="31"/>
        <v>296.64233237352971</v>
      </c>
      <c r="Q145" s="89">
        <f t="shared" si="31"/>
        <v>20.12151426572018</v>
      </c>
      <c r="R145" s="89">
        <f t="shared" si="31"/>
        <v>-0.49673145789139544</v>
      </c>
      <c r="S145" s="89">
        <f t="shared" si="31"/>
        <v>0</v>
      </c>
      <c r="T145" s="89">
        <f t="shared" si="31"/>
        <v>-8.5891264962664859</v>
      </c>
      <c r="U145" s="89">
        <f t="shared" si="31"/>
        <v>0</v>
      </c>
      <c r="V145" s="89">
        <f t="shared" si="31"/>
        <v>-2.1740755737384494</v>
      </c>
      <c r="W145" s="89">
        <f t="shared" si="31"/>
        <v>0</v>
      </c>
      <c r="X145" s="89">
        <f t="shared" si="31"/>
        <v>-71.803188569329805</v>
      </c>
      <c r="Y145" s="89">
        <f t="shared" si="31"/>
        <v>0</v>
      </c>
      <c r="AQ145" s="3"/>
    </row>
    <row r="146" spans="3:43" x14ac:dyDescent="0.3">
      <c r="C146" s="32"/>
      <c r="F146" t="s">
        <v>195</v>
      </c>
      <c r="G146" t="s">
        <v>172</v>
      </c>
      <c r="J146" s="89">
        <f t="shared" ref="J146:Y146" si="32">J86 + J109 + J132</f>
        <v>1267.1437748170374</v>
      </c>
      <c r="K146" s="89">
        <f t="shared" si="32"/>
        <v>2.3469682165973937</v>
      </c>
      <c r="L146" s="89">
        <f t="shared" si="32"/>
        <v>432.40978480982665</v>
      </c>
      <c r="M146" s="89">
        <f t="shared" si="32"/>
        <v>1.300568466985851</v>
      </c>
      <c r="N146" s="89">
        <f t="shared" si="32"/>
        <v>197.21692154667585</v>
      </c>
      <c r="O146" s="89">
        <f t="shared" si="32"/>
        <v>102.42067068601881</v>
      </c>
      <c r="P146" s="89">
        <f t="shared" si="32"/>
        <v>295.18247837562842</v>
      </c>
      <c r="Q146" s="89">
        <f t="shared" si="32"/>
        <v>20.022491065593602</v>
      </c>
      <c r="R146" s="89">
        <f t="shared" si="32"/>
        <v>-0.49428691331515828</v>
      </c>
      <c r="S146" s="89">
        <f t="shared" si="32"/>
        <v>0</v>
      </c>
      <c r="T146" s="89">
        <f t="shared" si="32"/>
        <v>-8.5468571729580862</v>
      </c>
      <c r="U146" s="89">
        <f t="shared" si="32"/>
        <v>0</v>
      </c>
      <c r="V146" s="89">
        <f t="shared" si="32"/>
        <v>-2.1633763829228068</v>
      </c>
      <c r="W146" s="89">
        <f t="shared" si="32"/>
        <v>0</v>
      </c>
      <c r="X146" s="89">
        <f t="shared" si="32"/>
        <v>-71.449826420858685</v>
      </c>
      <c r="Y146" s="89">
        <f t="shared" si="32"/>
        <v>0</v>
      </c>
      <c r="AQ146" s="3"/>
    </row>
    <row r="147" spans="3:43" x14ac:dyDescent="0.3">
      <c r="C147" s="32"/>
      <c r="F147" t="s">
        <v>196</v>
      </c>
      <c r="G147" t="s">
        <v>172</v>
      </c>
      <c r="H147" s="63"/>
      <c r="J147" s="89">
        <f t="shared" ref="J147:Y147" si="33">J87 + J110 + J133</f>
        <v>0</v>
      </c>
      <c r="K147" s="89">
        <f t="shared" si="33"/>
        <v>0</v>
      </c>
      <c r="L147" s="89">
        <f t="shared" si="33"/>
        <v>0</v>
      </c>
      <c r="M147" s="89">
        <f t="shared" si="33"/>
        <v>0</v>
      </c>
      <c r="N147" s="89">
        <f t="shared" si="33"/>
        <v>0</v>
      </c>
      <c r="O147" s="89">
        <f t="shared" si="33"/>
        <v>0</v>
      </c>
      <c r="P147" s="89">
        <f t="shared" si="33"/>
        <v>0</v>
      </c>
      <c r="Q147" s="89">
        <f t="shared" si="33"/>
        <v>0</v>
      </c>
      <c r="R147" s="89">
        <f t="shared" si="33"/>
        <v>0</v>
      </c>
      <c r="S147" s="89">
        <f t="shared" si="33"/>
        <v>0</v>
      </c>
      <c r="T147" s="89">
        <f t="shared" si="33"/>
        <v>0</v>
      </c>
      <c r="U147" s="89">
        <f t="shared" si="33"/>
        <v>0</v>
      </c>
      <c r="V147" s="89">
        <f t="shared" si="33"/>
        <v>0</v>
      </c>
      <c r="W147" s="89">
        <f t="shared" si="33"/>
        <v>0</v>
      </c>
      <c r="X147" s="89">
        <f t="shared" si="33"/>
        <v>0</v>
      </c>
      <c r="Y147" s="89">
        <f t="shared" si="33"/>
        <v>0</v>
      </c>
      <c r="AQ147" s="3"/>
    </row>
    <row r="148" spans="3:43" x14ac:dyDescent="0.3">
      <c r="C148" s="32"/>
      <c r="F148" t="s">
        <v>197</v>
      </c>
      <c r="G148" t="s">
        <v>172</v>
      </c>
      <c r="J148" s="89">
        <f t="shared" ref="J148:Y148" si="34">J88 + J111 + J134</f>
        <v>1246.290489074647</v>
      </c>
      <c r="K148" s="89">
        <f t="shared" si="34"/>
        <v>2.3083443446882406</v>
      </c>
      <c r="L148" s="89">
        <f t="shared" si="34"/>
        <v>425.29365088749648</v>
      </c>
      <c r="M148" s="89">
        <f t="shared" si="34"/>
        <v>1.2791651137053486</v>
      </c>
      <c r="N148" s="89">
        <f>N88 + N111 + N134</f>
        <v>193.97133813303259</v>
      </c>
      <c r="O148" s="89">
        <f t="shared" si="34"/>
        <v>100.73514173958868</v>
      </c>
      <c r="P148" s="89">
        <f t="shared" si="34"/>
        <v>290.32468347496467</v>
      </c>
      <c r="Q148" s="89">
        <f t="shared" si="34"/>
        <v>19.69298250013853</v>
      </c>
      <c r="R148" s="89">
        <f t="shared" si="34"/>
        <v>-0.48615247234094944</v>
      </c>
      <c r="S148" s="89">
        <f t="shared" si="34"/>
        <v>0</v>
      </c>
      <c r="T148" s="89">
        <f t="shared" si="34"/>
        <v>-8.4062022146422226</v>
      </c>
      <c r="U148" s="89">
        <f t="shared" si="34"/>
        <v>0</v>
      </c>
      <c r="V148" s="89">
        <f t="shared" si="34"/>
        <v>-2.1277738674245619</v>
      </c>
      <c r="W148" s="89">
        <f t="shared" si="34"/>
        <v>0</v>
      </c>
      <c r="X148" s="89">
        <f t="shared" si="34"/>
        <v>0</v>
      </c>
      <c r="Y148" s="89">
        <f t="shared" si="34"/>
        <v>0</v>
      </c>
      <c r="AQ148" s="3"/>
    </row>
    <row r="149" spans="3:43" x14ac:dyDescent="0.3">
      <c r="C149" s="32"/>
      <c r="F149" t="s">
        <v>198</v>
      </c>
      <c r="G149" t="s">
        <v>172</v>
      </c>
      <c r="J149" s="89">
        <f t="shared" ref="J149:Y149" si="35">J89 + J112 + J135</f>
        <v>1230.8012191339485</v>
      </c>
      <c r="K149" s="89">
        <f t="shared" si="35"/>
        <v>2.2796555526414455</v>
      </c>
      <c r="L149" s="89">
        <f t="shared" si="35"/>
        <v>420.00797453803426</v>
      </c>
      <c r="M149" s="89">
        <f t="shared" si="35"/>
        <v>1.2632672681239245</v>
      </c>
      <c r="N149" s="89">
        <f t="shared" si="35"/>
        <v>191.56060448510769</v>
      </c>
      <c r="O149" s="89">
        <f t="shared" si="35"/>
        <v>99.483175350855745</v>
      </c>
      <c r="P149" s="89">
        <f t="shared" si="35"/>
        <v>0</v>
      </c>
      <c r="Q149" s="89">
        <f t="shared" si="35"/>
        <v>19.448232239620555</v>
      </c>
      <c r="R149" s="89">
        <f t="shared" si="35"/>
        <v>-0.48011042440554563</v>
      </c>
      <c r="S149" s="89">
        <f t="shared" si="35"/>
        <v>0</v>
      </c>
      <c r="T149" s="89">
        <f t="shared" si="35"/>
        <v>-8.3017274261237244</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1213.4006363940719</v>
      </c>
      <c r="K150" s="82">
        <f t="shared" si="36"/>
        <v>2.2474266805494367</v>
      </c>
      <c r="L150" s="82">
        <f t="shared" si="36"/>
        <v>414.07006726369826</v>
      </c>
      <c r="M150" s="82">
        <f t="shared" si="36"/>
        <v>1.2454076931740103</v>
      </c>
      <c r="N150" s="82">
        <f t="shared" si="36"/>
        <v>188.85239612763681</v>
      </c>
      <c r="O150" s="82">
        <f t="shared" si="36"/>
        <v>0</v>
      </c>
      <c r="P150" s="82">
        <f t="shared" si="36"/>
        <v>0</v>
      </c>
      <c r="Q150" s="82">
        <f t="shared" si="36"/>
        <v>19.17328079419708</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2308131.5510395723</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2297681.6478738482</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2290816.065260679</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2246444.6489335494</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2235389.3110943097</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0</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2268875.6667138538</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1956062.2907178032</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1838989.2149533276</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1341.4311302844171</v>
      </c>
      <c r="K168" s="158">
        <f t="shared" si="38"/>
        <v>1.0857400628867273</v>
      </c>
      <c r="L168" s="158">
        <f t="shared" si="38"/>
        <v>423.52187804495316</v>
      </c>
      <c r="M168" s="158">
        <f t="shared" si="38"/>
        <v>0.74590397249374285</v>
      </c>
      <c r="N168" s="158">
        <f t="shared" si="38"/>
        <v>199.87948963266234</v>
      </c>
      <c r="O168" s="158">
        <f t="shared" si="38"/>
        <v>102.64143806131474</v>
      </c>
      <c r="P168" s="158">
        <f t="shared" si="38"/>
        <v>296.38714341971394</v>
      </c>
      <c r="Q168" s="158">
        <f t="shared" si="38"/>
        <v>22.575807707717487</v>
      </c>
      <c r="R168" s="158">
        <f t="shared" si="38"/>
        <v>-0.46435932152230391</v>
      </c>
      <c r="S168" s="158">
        <f t="shared" si="38"/>
        <v>0</v>
      </c>
      <c r="T168" s="158">
        <f t="shared" si="38"/>
        <v>-8.2151070361315313</v>
      </c>
      <c r="U168" s="158">
        <f t="shared" si="38"/>
        <v>0</v>
      </c>
      <c r="V168" s="158">
        <f t="shared" si="38"/>
        <v>-2.0944115187082502</v>
      </c>
      <c r="W168" s="158">
        <f t="shared" si="38"/>
        <v>0</v>
      </c>
      <c r="X168" s="158">
        <f t="shared" si="38"/>
        <v>-69.363102270225298</v>
      </c>
      <c r="Y168" s="158">
        <f t="shared" si="38"/>
        <v>0</v>
      </c>
      <c r="AQ168" s="3"/>
    </row>
    <row r="169" spans="3:43" x14ac:dyDescent="0.3">
      <c r="C169" s="32"/>
      <c r="F169" t="s">
        <v>192</v>
      </c>
      <c r="G169" t="s">
        <v>172</v>
      </c>
      <c r="H169" s="63"/>
      <c r="J169" s="89">
        <f t="shared" ref="J169:Y169" si="39">J143 * (1 - J24)</f>
        <v>1335.0277731625119</v>
      </c>
      <c r="K169" s="89">
        <f t="shared" si="39"/>
        <v>1.2191667253746217</v>
      </c>
      <c r="L169" s="89">
        <f t="shared" si="39"/>
        <v>420.17635075714401</v>
      </c>
      <c r="M169" s="89">
        <f t="shared" si="39"/>
        <v>0.78487925194901309</v>
      </c>
      <c r="N169" s="89">
        <f t="shared" si="39"/>
        <v>198.41249100235174</v>
      </c>
      <c r="O169" s="89">
        <f t="shared" si="39"/>
        <v>102.04962883937866</v>
      </c>
      <c r="P169" s="89">
        <f t="shared" si="39"/>
        <v>295.17995532623155</v>
      </c>
      <c r="Q169" s="89">
        <f t="shared" si="39"/>
        <v>24.372390504936636</v>
      </c>
      <c r="R169" s="89">
        <f t="shared" si="39"/>
        <v>-0.45782171945273947</v>
      </c>
      <c r="S169" s="89">
        <f t="shared" si="39"/>
        <v>0</v>
      </c>
      <c r="T169" s="89">
        <f t="shared" si="39"/>
        <v>-8.1584240516219317</v>
      </c>
      <c r="U169" s="89">
        <f t="shared" si="39"/>
        <v>0</v>
      </c>
      <c r="V169" s="89">
        <f t="shared" si="39"/>
        <v>-2.0837538058944625</v>
      </c>
      <c r="W169" s="89">
        <f t="shared" si="39"/>
        <v>0</v>
      </c>
      <c r="X169" s="89">
        <f t="shared" si="39"/>
        <v>-68.840988119060981</v>
      </c>
      <c r="Y169" s="89">
        <f t="shared" si="39"/>
        <v>0</v>
      </c>
      <c r="AQ169" s="3"/>
    </row>
    <row r="170" spans="3:43" x14ac:dyDescent="0.3">
      <c r="C170" s="32"/>
      <c r="F170" t="s">
        <v>193</v>
      </c>
      <c r="G170" t="s">
        <v>172</v>
      </c>
      <c r="H170" s="63"/>
      <c r="J170" s="89">
        <f t="shared" ref="J170:Y170" si="40">J144 * (1 - J25)</f>
        <v>1331.038646350273</v>
      </c>
      <c r="K170" s="89">
        <f t="shared" si="40"/>
        <v>1.2155237969123469</v>
      </c>
      <c r="L170" s="89">
        <f t="shared" si="40"/>
        <v>418.92084373296922</v>
      </c>
      <c r="M170" s="89">
        <f t="shared" si="40"/>
        <v>0.7825339952200816</v>
      </c>
      <c r="N170" s="89">
        <f t="shared" si="40"/>
        <v>197.81962499338059</v>
      </c>
      <c r="O170" s="89">
        <f t="shared" si="40"/>
        <v>101.74469966953987</v>
      </c>
      <c r="P170" s="89">
        <f t="shared" si="40"/>
        <v>294.29794350752763</v>
      </c>
      <c r="Q170" s="89">
        <f t="shared" si="40"/>
        <v>24.299564636893997</v>
      </c>
      <c r="R170" s="89">
        <f t="shared" si="40"/>
        <v>-0.45645372626712366</v>
      </c>
      <c r="S170" s="89">
        <f t="shared" si="40"/>
        <v>0</v>
      </c>
      <c r="T170" s="89">
        <f t="shared" si="40"/>
        <v>-8.1340462905115043</v>
      </c>
      <c r="U170" s="89">
        <f t="shared" si="40"/>
        <v>0</v>
      </c>
      <c r="V170" s="89">
        <f t="shared" si="40"/>
        <v>-2.077527449900753</v>
      </c>
      <c r="W170" s="89">
        <f t="shared" si="40"/>
        <v>0</v>
      </c>
      <c r="X170" s="89">
        <f t="shared" si="40"/>
        <v>-68.635287955358606</v>
      </c>
      <c r="Y170" s="89">
        <f t="shared" si="40"/>
        <v>0</v>
      </c>
      <c r="AQ170" s="3"/>
    </row>
    <row r="171" spans="3:43" x14ac:dyDescent="0.3">
      <c r="C171" s="32"/>
      <c r="F171" t="s">
        <v>194</v>
      </c>
      <c r="G171" t="s">
        <v>172</v>
      </c>
      <c r="H171" s="63"/>
      <c r="J171" s="89">
        <f t="shared" ref="J171:Y171" si="41">J145 * (1 - J26)</f>
        <v>1273.4105590644019</v>
      </c>
      <c r="K171" s="89">
        <f t="shared" si="41"/>
        <v>2.3585753788951065</v>
      </c>
      <c r="L171" s="89">
        <f t="shared" si="41"/>
        <v>434.54830995725411</v>
      </c>
      <c r="M171" s="89">
        <f t="shared" si="41"/>
        <v>1.3070005563379081</v>
      </c>
      <c r="N171" s="89">
        <f t="shared" si="41"/>
        <v>198.19227724176329</v>
      </c>
      <c r="O171" s="89">
        <f t="shared" si="41"/>
        <v>102.92720219287351</v>
      </c>
      <c r="P171" s="89">
        <f t="shared" si="41"/>
        <v>237.31386589882379</v>
      </c>
      <c r="Q171" s="89">
        <f t="shared" si="41"/>
        <v>20.12151426572018</v>
      </c>
      <c r="R171" s="89">
        <f t="shared" si="41"/>
        <v>-0.49673145789139544</v>
      </c>
      <c r="S171" s="89">
        <f t="shared" si="41"/>
        <v>0</v>
      </c>
      <c r="T171" s="89">
        <f t="shared" si="41"/>
        <v>-8.5891264962664859</v>
      </c>
      <c r="U171" s="89">
        <f t="shared" si="41"/>
        <v>0</v>
      </c>
      <c r="V171" s="89">
        <f t="shared" si="41"/>
        <v>-2.1740755737384494</v>
      </c>
      <c r="W171" s="89">
        <f t="shared" si="41"/>
        <v>0</v>
      </c>
      <c r="X171" s="89">
        <f t="shared" si="41"/>
        <v>-71.803188569329805</v>
      </c>
      <c r="Y171" s="89">
        <f t="shared" si="41"/>
        <v>0</v>
      </c>
      <c r="AQ171" s="3"/>
    </row>
    <row r="172" spans="3:43" x14ac:dyDescent="0.3">
      <c r="C172" s="32"/>
      <c r="F172" t="s">
        <v>195</v>
      </c>
      <c r="G172" t="s">
        <v>172</v>
      </c>
      <c r="H172" s="63"/>
      <c r="J172" s="89">
        <f t="shared" ref="J172:Y172" si="42">J146 * (1 - J27)</f>
        <v>1267.1437748170374</v>
      </c>
      <c r="K172" s="89">
        <f t="shared" si="42"/>
        <v>2.3469682165973937</v>
      </c>
      <c r="L172" s="89">
        <f t="shared" si="42"/>
        <v>432.40978480982665</v>
      </c>
      <c r="M172" s="89">
        <f t="shared" si="42"/>
        <v>1.300568466985851</v>
      </c>
      <c r="N172" s="89">
        <f t="shared" si="42"/>
        <v>197.21692154667585</v>
      </c>
      <c r="O172" s="89">
        <f t="shared" si="42"/>
        <v>102.42067068601881</v>
      </c>
      <c r="P172" s="89">
        <f t="shared" si="42"/>
        <v>0</v>
      </c>
      <c r="Q172" s="89">
        <f t="shared" si="42"/>
        <v>20.022491065593602</v>
      </c>
      <c r="R172" s="89">
        <f t="shared" si="42"/>
        <v>-0.49428691331515828</v>
      </c>
      <c r="S172" s="89">
        <f t="shared" si="42"/>
        <v>0</v>
      </c>
      <c r="T172" s="89">
        <f t="shared" si="42"/>
        <v>-8.5468571729580862</v>
      </c>
      <c r="U172" s="89">
        <f t="shared" si="42"/>
        <v>0</v>
      </c>
      <c r="V172" s="89">
        <f t="shared" si="42"/>
        <v>-2.1633763829228068</v>
      </c>
      <c r="W172" s="89">
        <f t="shared" si="42"/>
        <v>0</v>
      </c>
      <c r="X172" s="89">
        <f t="shared" si="42"/>
        <v>-71.449826420858685</v>
      </c>
      <c r="Y172" s="89">
        <f t="shared" si="42"/>
        <v>0</v>
      </c>
      <c r="AQ172" s="3"/>
    </row>
    <row r="173" spans="3:43" x14ac:dyDescent="0.3">
      <c r="C173" s="32"/>
      <c r="F173" t="s">
        <v>196</v>
      </c>
      <c r="G173" t="s">
        <v>172</v>
      </c>
      <c r="H173" s="63"/>
      <c r="J173" s="89">
        <f t="shared" ref="J173:Y173" si="43">J147 * (1 - J28)</f>
        <v>0</v>
      </c>
      <c r="K173" s="89">
        <f t="shared" si="43"/>
        <v>0</v>
      </c>
      <c r="L173" s="89">
        <f t="shared" si="43"/>
        <v>0</v>
      </c>
      <c r="M173" s="89">
        <f t="shared" si="43"/>
        <v>0</v>
      </c>
      <c r="N173" s="89">
        <f t="shared" si="43"/>
        <v>0</v>
      </c>
      <c r="O173" s="89">
        <f t="shared" si="43"/>
        <v>0</v>
      </c>
      <c r="P173" s="89">
        <f t="shared" si="43"/>
        <v>0</v>
      </c>
      <c r="Q173" s="89">
        <f t="shared" si="43"/>
        <v>0</v>
      </c>
      <c r="R173" s="89">
        <f t="shared" si="43"/>
        <v>0</v>
      </c>
      <c r="S173" s="89">
        <f t="shared" si="43"/>
        <v>0</v>
      </c>
      <c r="T173" s="89">
        <f t="shared" si="43"/>
        <v>0</v>
      </c>
      <c r="U173" s="89">
        <f t="shared" si="43"/>
        <v>0</v>
      </c>
      <c r="V173" s="89">
        <f t="shared" si="43"/>
        <v>0</v>
      </c>
      <c r="W173" s="89">
        <f t="shared" si="43"/>
        <v>0</v>
      </c>
      <c r="X173" s="89">
        <f t="shared" si="43"/>
        <v>0</v>
      </c>
      <c r="Y173" s="89">
        <f t="shared" si="43"/>
        <v>0</v>
      </c>
      <c r="AQ173" s="3"/>
    </row>
    <row r="174" spans="3:43" x14ac:dyDescent="0.3">
      <c r="C174" s="32"/>
      <c r="F174" t="s">
        <v>197</v>
      </c>
      <c r="G174" t="s">
        <v>172</v>
      </c>
      <c r="H174" s="63"/>
      <c r="J174" s="89">
        <f t="shared" ref="J174:Y174" si="44">J148 * (1 - J29)</f>
        <v>1246.290489074647</v>
      </c>
      <c r="K174" s="89">
        <f t="shared" si="44"/>
        <v>2.3083443446882406</v>
      </c>
      <c r="L174" s="89">
        <f t="shared" si="44"/>
        <v>425.29365088749648</v>
      </c>
      <c r="M174" s="89">
        <f t="shared" si="44"/>
        <v>1.2791651137053486</v>
      </c>
      <c r="N174" s="89">
        <f t="shared" si="44"/>
        <v>155.17707050642608</v>
      </c>
      <c r="O174" s="89">
        <f t="shared" si="44"/>
        <v>0</v>
      </c>
      <c r="P174" s="89">
        <f t="shared" si="44"/>
        <v>0</v>
      </c>
      <c r="Q174" s="89">
        <f t="shared" si="44"/>
        <v>19.69298250013853</v>
      </c>
      <c r="R174" s="89">
        <f t="shared" si="44"/>
        <v>-0.48615247234094944</v>
      </c>
      <c r="S174" s="89">
        <f t="shared" si="44"/>
        <v>0</v>
      </c>
      <c r="T174" s="89">
        <f t="shared" si="44"/>
        <v>-8.4062022146422226</v>
      </c>
      <c r="U174" s="89">
        <f t="shared" si="44"/>
        <v>0</v>
      </c>
      <c r="V174" s="89">
        <f t="shared" si="44"/>
        <v>-2.1277738674245619</v>
      </c>
      <c r="W174" s="89">
        <f t="shared" si="44"/>
        <v>0</v>
      </c>
      <c r="X174" s="89">
        <f t="shared" si="44"/>
        <v>0</v>
      </c>
      <c r="Y174" s="89">
        <f t="shared" si="44"/>
        <v>0</v>
      </c>
      <c r="AQ174" s="3"/>
    </row>
    <row r="175" spans="3:43" x14ac:dyDescent="0.3">
      <c r="C175" s="32"/>
      <c r="F175" t="s">
        <v>198</v>
      </c>
      <c r="G175" t="s">
        <v>172</v>
      </c>
      <c r="H175" s="63"/>
      <c r="J175" s="89">
        <f t="shared" ref="J175:Y175" si="45">J149 * (1 - J30)</f>
        <v>1230.8012191339485</v>
      </c>
      <c r="K175" s="89">
        <f t="shared" si="45"/>
        <v>2.2796555526414455</v>
      </c>
      <c r="L175" s="89">
        <f t="shared" si="45"/>
        <v>420.00797453803426</v>
      </c>
      <c r="M175" s="89">
        <f t="shared" si="45"/>
        <v>1.2632672681239245</v>
      </c>
      <c r="N175" s="89">
        <f t="shared" si="45"/>
        <v>0</v>
      </c>
      <c r="O175" s="89">
        <f t="shared" si="45"/>
        <v>0</v>
      </c>
      <c r="P175" s="89">
        <f t="shared" si="45"/>
        <v>0</v>
      </c>
      <c r="Q175" s="89">
        <f t="shared" si="45"/>
        <v>19.448232239620555</v>
      </c>
      <c r="R175" s="89">
        <f t="shared" si="45"/>
        <v>-0.48011042440554563</v>
      </c>
      <c r="S175" s="89">
        <f t="shared" si="45"/>
        <v>0</v>
      </c>
      <c r="T175" s="89">
        <f t="shared" si="45"/>
        <v>-8.3017274261237244</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19.17328079419708</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9025.1435918872376</v>
      </c>
      <c r="K177" s="167">
        <f t="shared" si="47"/>
        <v>12.813974077995882</v>
      </c>
      <c r="L177" s="167">
        <f t="shared" si="47"/>
        <v>2974.878792727678</v>
      </c>
      <c r="M177" s="167">
        <f t="shared" si="47"/>
        <v>7.4633186248158703</v>
      </c>
      <c r="N177" s="167">
        <f t="shared" si="47"/>
        <v>1146.6978749232599</v>
      </c>
      <c r="O177" s="167">
        <f t="shared" si="47"/>
        <v>511.78363944912553</v>
      </c>
      <c r="P177" s="167">
        <f t="shared" si="47"/>
        <v>1123.178908152297</v>
      </c>
      <c r="Q177" s="167">
        <f t="shared" si="47"/>
        <v>169.70626371481805</v>
      </c>
      <c r="R177" s="167">
        <f t="shared" si="47"/>
        <v>-3.3359160351952162</v>
      </c>
      <c r="S177" s="167">
        <f t="shared" si="47"/>
        <v>0</v>
      </c>
      <c r="T177" s="167">
        <f t="shared" si="47"/>
        <v>-58.351490688255488</v>
      </c>
      <c r="U177" s="167">
        <f t="shared" si="47"/>
        <v>0</v>
      </c>
      <c r="V177" s="167">
        <f t="shared" si="47"/>
        <v>-12.720918598589282</v>
      </c>
      <c r="W177" s="167">
        <f t="shared" si="47"/>
        <v>0</v>
      </c>
      <c r="X177" s="167">
        <f t="shared" si="47"/>
        <v>-350.09239333483339</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780472.43166869215</v>
      </c>
      <c r="O188" s="120">
        <f>'Volume adjustments'!O286</f>
        <v>390490.24367112282</v>
      </c>
      <c r="P188" s="120">
        <f>'Volume adjustments'!P286</f>
        <v>954075.74895731464</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18294.641107301362</v>
      </c>
      <c r="O189" s="120">
        <f>'Volume adjustments'!O297</f>
        <v>5537.6623588380098</v>
      </c>
      <c r="P189" s="120">
        <f>'Volume adjustments'!P297</f>
        <v>3426.0653564780446</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798767.0727759935</v>
      </c>
      <c r="O191" s="89">
        <f t="shared" si="48"/>
        <v>396027.90602996084</v>
      </c>
      <c r="P191" s="89">
        <f t="shared" si="48"/>
        <v>957501.81431379274</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758.82871913719373</v>
      </c>
      <c r="O192" s="89">
        <f t="shared" si="49"/>
        <v>376.22651072846276</v>
      </c>
      <c r="P192" s="89">
        <f t="shared" si="49"/>
        <v>909.62672359810301</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1387.0555918683995</v>
      </c>
      <c r="K200" s="121">
        <f t="shared" si="50"/>
        <v>31.033087235321247</v>
      </c>
      <c r="L200" s="121">
        <f t="shared" si="50"/>
        <v>568.95088117029684</v>
      </c>
      <c r="M200" s="121">
        <f t="shared" si="50"/>
        <v>12.870290321798837</v>
      </c>
      <c r="N200" s="121">
        <f t="shared" si="50"/>
        <v>251.17572023977451</v>
      </c>
      <c r="O200" s="121">
        <f t="shared" si="50"/>
        <v>131.30766936451727</v>
      </c>
      <c r="P200" s="121">
        <f t="shared" si="50"/>
        <v>364.10549045531064</v>
      </c>
      <c r="Q200" s="121">
        <f t="shared" si="50"/>
        <v>27.339353468385369</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758.82871913719373</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1387.0555918683995</v>
      </c>
      <c r="K204" s="89">
        <f t="shared" si="52"/>
        <v>0</v>
      </c>
      <c r="L204" s="89">
        <f t="shared" si="52"/>
        <v>568.95088117029684</v>
      </c>
      <c r="M204" s="89">
        <f t="shared" si="52"/>
        <v>0</v>
      </c>
      <c r="N204" s="89">
        <f t="shared" si="52"/>
        <v>251.17572023977448</v>
      </c>
      <c r="O204" s="89">
        <f t="shared" si="52"/>
        <v>0</v>
      </c>
      <c r="P204" s="89">
        <f t="shared" si="52"/>
        <v>0</v>
      </c>
      <c r="Q204" s="89">
        <f t="shared" si="52"/>
        <v>27.339353468385369</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1387.0555918683995</v>
      </c>
      <c r="K206" s="89">
        <f t="shared" si="53"/>
        <v>0</v>
      </c>
      <c r="L206" s="89">
        <f t="shared" si="53"/>
        <v>568.95088117029684</v>
      </c>
      <c r="M206" s="89">
        <f t="shared" si="53"/>
        <v>0</v>
      </c>
      <c r="N206" s="89">
        <f t="shared" si="53"/>
        <v>758.82871913719373</v>
      </c>
      <c r="O206" s="89">
        <f t="shared" si="53"/>
        <v>0</v>
      </c>
      <c r="P206" s="89">
        <f t="shared" si="53"/>
        <v>0</v>
      </c>
      <c r="Q206" s="89">
        <f t="shared" si="53"/>
        <v>27.339353468385369</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1213.4006363940719</v>
      </c>
      <c r="K208" s="89">
        <f t="shared" si="54"/>
        <v>2.2474266805494367</v>
      </c>
      <c r="L208" s="89">
        <f t="shared" si="54"/>
        <v>414.07006726369826</v>
      </c>
      <c r="M208" s="89">
        <f t="shared" si="54"/>
        <v>1.2454076931740103</v>
      </c>
      <c r="N208" s="89">
        <f t="shared" si="54"/>
        <v>188.85239612763681</v>
      </c>
      <c r="O208" s="89">
        <f t="shared" si="54"/>
        <v>0</v>
      </c>
      <c r="P208" s="89">
        <f t="shared" si="54"/>
        <v>0</v>
      </c>
      <c r="Q208" s="89">
        <f t="shared" si="54"/>
        <v>19.17328079419708</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0.49113139073731338</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2.200000000000002E-2</v>
      </c>
      <c r="J214" s="63"/>
      <c r="K214" s="84"/>
      <c r="L214" s="63"/>
      <c r="M214" s="84"/>
      <c r="AQ214" s="3"/>
    </row>
    <row r="215" spans="5:43" x14ac:dyDescent="0.3">
      <c r="E215" s="32"/>
      <c r="F215" t="s">
        <v>192</v>
      </c>
      <c r="G215" t="s">
        <v>167</v>
      </c>
      <c r="H215" s="25">
        <v>5.3682000000000007E-2</v>
      </c>
      <c r="J215" s="63"/>
      <c r="L215" s="63"/>
      <c r="AQ215" s="3"/>
    </row>
    <row r="216" spans="5:43" x14ac:dyDescent="0.3">
      <c r="E216" s="32"/>
      <c r="F216" t="s">
        <v>193</v>
      </c>
      <c r="G216" t="s">
        <v>167</v>
      </c>
      <c r="H216" s="25">
        <v>5.3682000000000007E-2</v>
      </c>
      <c r="J216" s="63"/>
      <c r="L216" s="63"/>
      <c r="AQ216" s="3"/>
    </row>
    <row r="217" spans="5:43" x14ac:dyDescent="0.3">
      <c r="E217" s="32"/>
      <c r="F217" t="s">
        <v>194</v>
      </c>
      <c r="G217" t="s">
        <v>167</v>
      </c>
      <c r="H217" s="25">
        <v>0.13270815000000002</v>
      </c>
      <c r="J217" s="63"/>
      <c r="L217" s="63"/>
      <c r="AQ217" s="3"/>
    </row>
    <row r="218" spans="5:43" x14ac:dyDescent="0.3">
      <c r="E218" s="32"/>
      <c r="F218" t="s">
        <v>195</v>
      </c>
      <c r="G218" t="s">
        <v>167</v>
      </c>
      <c r="H218" s="25">
        <v>0.13270815000000002</v>
      </c>
      <c r="J218" s="63"/>
      <c r="L218" s="63"/>
      <c r="AQ218" s="3"/>
    </row>
    <row r="219" spans="5:43" x14ac:dyDescent="0.3">
      <c r="E219" s="32"/>
      <c r="F219" t="s">
        <v>196</v>
      </c>
      <c r="G219" t="s">
        <v>167</v>
      </c>
      <c r="H219" s="25">
        <v>5.3682000000000007E-2</v>
      </c>
      <c r="J219" s="63"/>
      <c r="L219" s="63"/>
      <c r="AQ219" s="3"/>
    </row>
    <row r="220" spans="5:43" x14ac:dyDescent="0.3">
      <c r="E220" s="32"/>
      <c r="F220" t="s">
        <v>197</v>
      </c>
      <c r="G220" t="s">
        <v>167</v>
      </c>
      <c r="H220" s="25">
        <v>0.55181016550000006</v>
      </c>
      <c r="J220" s="63"/>
      <c r="L220" s="63"/>
      <c r="AQ220" s="3"/>
    </row>
    <row r="221" spans="5:43" x14ac:dyDescent="0.3">
      <c r="E221" s="32"/>
      <c r="F221" t="s">
        <v>198</v>
      </c>
      <c r="G221" t="s">
        <v>167</v>
      </c>
      <c r="H221" s="25">
        <v>0.55181016550000006</v>
      </c>
      <c r="J221" s="63"/>
      <c r="L221" s="63"/>
      <c r="AQ221" s="3"/>
    </row>
    <row r="222" spans="5:43" x14ac:dyDescent="0.3">
      <c r="E222" s="32"/>
      <c r="F222" s="37" t="s">
        <v>199</v>
      </c>
      <c r="G222" s="37" t="s">
        <v>167</v>
      </c>
      <c r="H222" s="141">
        <v>0.55181016550000006</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2.200000000000002E-2</v>
      </c>
      <c r="J226" s="63"/>
      <c r="L226" s="63"/>
      <c r="AQ226" s="3"/>
    </row>
    <row r="227" spans="3:43" x14ac:dyDescent="0.3">
      <c r="C227" s="32"/>
      <c r="F227" t="s">
        <v>192</v>
      </c>
      <c r="G227" t="s">
        <v>167</v>
      </c>
      <c r="H227" s="111">
        <f t="shared" si="55"/>
        <v>5.3682000000000007E-2</v>
      </c>
      <c r="J227" s="63"/>
      <c r="L227" s="63"/>
      <c r="AQ227" s="3"/>
    </row>
    <row r="228" spans="3:43" x14ac:dyDescent="0.3">
      <c r="C228" s="32"/>
      <c r="F228" t="s">
        <v>193</v>
      </c>
      <c r="G228" t="s">
        <v>167</v>
      </c>
      <c r="H228" s="111">
        <f t="shared" si="55"/>
        <v>5.3682000000000007E-2</v>
      </c>
      <c r="J228" s="63"/>
      <c r="L228" s="63"/>
      <c r="AQ228" s="3"/>
    </row>
    <row r="229" spans="3:43" x14ac:dyDescent="0.3">
      <c r="C229" s="32"/>
      <c r="F229" t="s">
        <v>194</v>
      </c>
      <c r="G229" t="s">
        <v>167</v>
      </c>
      <c r="H229" s="111">
        <f t="shared" si="55"/>
        <v>0.13270815000000002</v>
      </c>
      <c r="J229" s="63"/>
      <c r="L229" s="63"/>
      <c r="AQ229" s="3"/>
    </row>
    <row r="230" spans="3:43" x14ac:dyDescent="0.3">
      <c r="C230" s="32"/>
      <c r="F230" t="s">
        <v>195</v>
      </c>
      <c r="G230" t="s">
        <v>167</v>
      </c>
      <c r="H230" s="111">
        <f t="shared" si="55"/>
        <v>0.13270815000000002</v>
      </c>
      <c r="J230" s="63"/>
      <c r="L230" s="63"/>
      <c r="AQ230" s="3"/>
    </row>
    <row r="231" spans="3:43" x14ac:dyDescent="0.3">
      <c r="C231" s="32"/>
      <c r="F231" t="s">
        <v>196</v>
      </c>
      <c r="G231" t="s">
        <v>167</v>
      </c>
      <c r="H231" s="111">
        <f t="shared" si="55"/>
        <v>5.3682000000000007E-2</v>
      </c>
      <c r="J231" s="63"/>
      <c r="L231" s="63"/>
      <c r="AQ231" s="3"/>
    </row>
    <row r="232" spans="3:43" x14ac:dyDescent="0.3">
      <c r="C232" s="32"/>
      <c r="F232" t="s">
        <v>197</v>
      </c>
      <c r="G232" t="s">
        <v>167</v>
      </c>
      <c r="H232" s="111">
        <f t="shared" si="55"/>
        <v>0.55181016550000006</v>
      </c>
      <c r="J232" s="63"/>
      <c r="L232" s="63"/>
      <c r="AQ232" s="3"/>
    </row>
    <row r="233" spans="3:43" x14ac:dyDescent="0.3">
      <c r="C233" s="32"/>
      <c r="F233" t="s">
        <v>198</v>
      </c>
      <c r="G233" t="s">
        <v>167</v>
      </c>
      <c r="H233" s="111">
        <f t="shared" si="55"/>
        <v>0.55181016550000006</v>
      </c>
      <c r="J233" s="63"/>
      <c r="L233" s="63"/>
      <c r="AQ233" s="3"/>
    </row>
    <row r="234" spans="3:43" x14ac:dyDescent="0.3">
      <c r="C234" s="32"/>
      <c r="F234" s="37" t="s">
        <v>199</v>
      </c>
      <c r="G234" s="37" t="s">
        <v>167</v>
      </c>
      <c r="H234" s="143">
        <f>IF(F234 = $F$234, $H$210, H222)</f>
        <v>0.49113139073731338</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0</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164.1059573784481</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816.49174660241624</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0</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100.45006559452553</v>
      </c>
      <c r="O245" s="89">
        <f t="shared" si="62"/>
        <v>245.49472529063979</v>
      </c>
      <c r="P245" s="89">
        <f t="shared" si="62"/>
        <v>586.1713912055842</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496.00821108577856</v>
      </c>
      <c r="O246" s="89">
        <f t="shared" si="63"/>
        <v>242.44364361876757</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508.89460435943136</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930.2034686444016</v>
      </c>
      <c r="K260" s="82">
        <f t="shared" si="73"/>
        <v>0</v>
      </c>
      <c r="L260" s="82">
        <f t="shared" si="73"/>
        <v>381.55650448011164</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2308.1315510395725</v>
      </c>
      <c r="I269" s="158"/>
      <c r="J269" s="158">
        <f t="shared" ref="J269:Y269" si="75">J239 + J252 + J168</f>
        <v>1341.4311302844171</v>
      </c>
      <c r="K269" s="158">
        <f t="shared" si="75"/>
        <v>1.0857400628867273</v>
      </c>
      <c r="L269" s="158">
        <f t="shared" si="75"/>
        <v>423.52187804495316</v>
      </c>
      <c r="M269" s="158">
        <f t="shared" si="75"/>
        <v>0.74590397249374285</v>
      </c>
      <c r="N269" s="158">
        <f t="shared" si="75"/>
        <v>199.87948963266234</v>
      </c>
      <c r="O269" s="158">
        <f t="shared" si="75"/>
        <v>102.64143806131474</v>
      </c>
      <c r="P269" s="158">
        <f t="shared" si="75"/>
        <v>296.38714341971394</v>
      </c>
      <c r="Q269" s="158">
        <f t="shared" si="75"/>
        <v>22.575807707717487</v>
      </c>
      <c r="R269" s="158">
        <f t="shared" si="75"/>
        <v>-0.46435932152230391</v>
      </c>
      <c r="S269" s="158">
        <f t="shared" si="75"/>
        <v>0</v>
      </c>
      <c r="T269" s="158">
        <f t="shared" si="75"/>
        <v>-8.2151070361315313</v>
      </c>
      <c r="U269" s="158">
        <f t="shared" si="75"/>
        <v>0</v>
      </c>
      <c r="V269" s="158">
        <f t="shared" si="75"/>
        <v>-2.0944115187082502</v>
      </c>
      <c r="W269" s="158">
        <f t="shared" si="75"/>
        <v>0</v>
      </c>
      <c r="X269" s="158">
        <f t="shared" si="75"/>
        <v>-69.363102270225298</v>
      </c>
      <c r="Y269" s="158">
        <f t="shared" si="75"/>
        <v>0</v>
      </c>
      <c r="AQ269" s="3"/>
    </row>
    <row r="270" spans="2:43" x14ac:dyDescent="0.3">
      <c r="C270" s="32"/>
      <c r="F270" t="s">
        <v>192</v>
      </c>
      <c r="G270" t="s">
        <v>172</v>
      </c>
      <c r="H270" s="121">
        <f t="shared" si="74"/>
        <v>2297.6816478738483</v>
      </c>
      <c r="I270" s="89"/>
      <c r="J270" s="89">
        <f t="shared" ref="J270:Y270" si="76">J240 + J253 + J169</f>
        <v>1335.0277731625119</v>
      </c>
      <c r="K270" s="89">
        <f t="shared" si="76"/>
        <v>1.2191667253746217</v>
      </c>
      <c r="L270" s="89">
        <f t="shared" si="76"/>
        <v>420.17635075714401</v>
      </c>
      <c r="M270" s="89">
        <f t="shared" si="76"/>
        <v>0.78487925194901309</v>
      </c>
      <c r="N270" s="89">
        <f t="shared" si="76"/>
        <v>198.41249100235174</v>
      </c>
      <c r="O270" s="89">
        <f t="shared" si="76"/>
        <v>102.04962883937866</v>
      </c>
      <c r="P270" s="89">
        <f t="shared" si="76"/>
        <v>295.17995532623155</v>
      </c>
      <c r="Q270" s="89">
        <f t="shared" si="76"/>
        <v>24.372390504936636</v>
      </c>
      <c r="R270" s="89">
        <f t="shared" si="76"/>
        <v>-0.45782171945273947</v>
      </c>
      <c r="S270" s="89">
        <f t="shared" si="76"/>
        <v>0</v>
      </c>
      <c r="T270" s="89">
        <f t="shared" si="76"/>
        <v>-8.1584240516219317</v>
      </c>
      <c r="U270" s="89">
        <f t="shared" si="76"/>
        <v>0</v>
      </c>
      <c r="V270" s="89">
        <f t="shared" si="76"/>
        <v>-2.0837538058944625</v>
      </c>
      <c r="W270" s="89">
        <f t="shared" si="76"/>
        <v>0</v>
      </c>
      <c r="X270" s="89">
        <f t="shared" si="76"/>
        <v>-68.840988119060981</v>
      </c>
      <c r="Y270" s="89">
        <f t="shared" si="76"/>
        <v>0</v>
      </c>
      <c r="AQ270" s="3"/>
    </row>
    <row r="271" spans="2:43" x14ac:dyDescent="0.3">
      <c r="C271" s="32"/>
      <c r="F271" t="s">
        <v>193</v>
      </c>
      <c r="G271" t="s">
        <v>172</v>
      </c>
      <c r="H271" s="121">
        <f t="shared" si="74"/>
        <v>2290.8160652606789</v>
      </c>
      <c r="I271" s="89"/>
      <c r="J271" s="89">
        <f t="shared" ref="J271:Y271" si="77">J241 + J254 + J170</f>
        <v>1331.038646350273</v>
      </c>
      <c r="K271" s="89">
        <f t="shared" si="77"/>
        <v>1.2155237969123469</v>
      </c>
      <c r="L271" s="89">
        <f t="shared" si="77"/>
        <v>418.92084373296922</v>
      </c>
      <c r="M271" s="89">
        <f t="shared" si="77"/>
        <v>0.7825339952200816</v>
      </c>
      <c r="N271" s="89">
        <f t="shared" si="77"/>
        <v>197.81962499338059</v>
      </c>
      <c r="O271" s="89">
        <f t="shared" si="77"/>
        <v>101.74469966953987</v>
      </c>
      <c r="P271" s="89">
        <f t="shared" si="77"/>
        <v>294.29794350752763</v>
      </c>
      <c r="Q271" s="89">
        <f t="shared" si="77"/>
        <v>24.299564636893997</v>
      </c>
      <c r="R271" s="89">
        <f t="shared" si="77"/>
        <v>-0.45645372626712366</v>
      </c>
      <c r="S271" s="89">
        <f t="shared" si="77"/>
        <v>0</v>
      </c>
      <c r="T271" s="89">
        <f t="shared" si="77"/>
        <v>-8.1340462905115043</v>
      </c>
      <c r="U271" s="89">
        <f t="shared" si="77"/>
        <v>0</v>
      </c>
      <c r="V271" s="89">
        <f t="shared" si="77"/>
        <v>-2.077527449900753</v>
      </c>
      <c r="W271" s="89">
        <f t="shared" si="77"/>
        <v>0</v>
      </c>
      <c r="X271" s="89">
        <f t="shared" si="77"/>
        <v>-68.635287955358606</v>
      </c>
      <c r="Y271" s="89">
        <f t="shared" si="77"/>
        <v>0</v>
      </c>
      <c r="AQ271" s="3"/>
    </row>
    <row r="272" spans="2:43" x14ac:dyDescent="0.3">
      <c r="C272" s="32"/>
      <c r="F272" t="s">
        <v>194</v>
      </c>
      <c r="G272" t="s">
        <v>172</v>
      </c>
      <c r="H272" s="121">
        <f t="shared" si="74"/>
        <v>2351.2221398372917</v>
      </c>
      <c r="I272" s="89"/>
      <c r="J272" s="89">
        <f t="shared" ref="J272:Y272" si="78">J242 + J255 + J171</f>
        <v>1273.4105590644019</v>
      </c>
      <c r="K272" s="89">
        <f t="shared" si="78"/>
        <v>2.3585753788951065</v>
      </c>
      <c r="L272" s="89">
        <f t="shared" si="78"/>
        <v>434.54830995725411</v>
      </c>
      <c r="M272" s="89">
        <f t="shared" si="78"/>
        <v>1.3070005563379081</v>
      </c>
      <c r="N272" s="89">
        <f t="shared" si="78"/>
        <v>198.19227724176329</v>
      </c>
      <c r="O272" s="89">
        <f t="shared" si="78"/>
        <v>102.92720219287351</v>
      </c>
      <c r="P272" s="89">
        <f t="shared" si="78"/>
        <v>401.41982327727192</v>
      </c>
      <c r="Q272" s="89">
        <f t="shared" si="78"/>
        <v>20.12151426572018</v>
      </c>
      <c r="R272" s="89">
        <f t="shared" si="78"/>
        <v>-0.49673145789139544</v>
      </c>
      <c r="S272" s="89">
        <f t="shared" si="78"/>
        <v>0</v>
      </c>
      <c r="T272" s="89">
        <f t="shared" si="78"/>
        <v>-8.5891264962664859</v>
      </c>
      <c r="U272" s="89">
        <f t="shared" si="78"/>
        <v>0</v>
      </c>
      <c r="V272" s="89">
        <f t="shared" si="78"/>
        <v>-2.1740755737384494</v>
      </c>
      <c r="W272" s="89">
        <f t="shared" si="78"/>
        <v>0</v>
      </c>
      <c r="X272" s="89">
        <f t="shared" si="78"/>
        <v>-71.803188569329805</v>
      </c>
      <c r="Y272" s="89">
        <f t="shared" si="78"/>
        <v>0</v>
      </c>
      <c r="AQ272" s="3"/>
    </row>
    <row r="273" spans="2:43" x14ac:dyDescent="0.3">
      <c r="C273" s="32"/>
      <c r="F273" t="s">
        <v>195</v>
      </c>
      <c r="G273" t="s">
        <v>172</v>
      </c>
      <c r="H273" s="121">
        <f t="shared" si="74"/>
        <v>2756.698579321097</v>
      </c>
      <c r="I273" s="89"/>
      <c r="J273" s="89">
        <f t="shared" ref="J273:Y273" si="79">J243 + J256 + J172</f>
        <v>1267.1437748170374</v>
      </c>
      <c r="K273" s="89">
        <f t="shared" si="79"/>
        <v>2.3469682165973937</v>
      </c>
      <c r="L273" s="89">
        <f t="shared" si="79"/>
        <v>432.40978480982665</v>
      </c>
      <c r="M273" s="89">
        <f t="shared" si="79"/>
        <v>1.300568466985851</v>
      </c>
      <c r="N273" s="89">
        <f t="shared" si="79"/>
        <v>197.21692154667585</v>
      </c>
      <c r="O273" s="89">
        <f t="shared" si="79"/>
        <v>102.42067068601881</v>
      </c>
      <c r="P273" s="89">
        <f t="shared" si="79"/>
        <v>816.49174660241624</v>
      </c>
      <c r="Q273" s="89">
        <f t="shared" si="79"/>
        <v>20.022491065593602</v>
      </c>
      <c r="R273" s="89">
        <f t="shared" si="79"/>
        <v>-0.49428691331515828</v>
      </c>
      <c r="S273" s="89">
        <f t="shared" si="79"/>
        <v>0</v>
      </c>
      <c r="T273" s="89">
        <f t="shared" si="79"/>
        <v>-8.5468571729580862</v>
      </c>
      <c r="U273" s="89">
        <f t="shared" si="79"/>
        <v>0</v>
      </c>
      <c r="V273" s="89">
        <f t="shared" si="79"/>
        <v>-2.1633763829228068</v>
      </c>
      <c r="W273" s="89">
        <f t="shared" si="79"/>
        <v>0</v>
      </c>
      <c r="X273" s="89">
        <f t="shared" si="79"/>
        <v>-71.449826420858685</v>
      </c>
      <c r="Y273" s="89">
        <f t="shared" si="79"/>
        <v>0</v>
      </c>
      <c r="AQ273" s="3"/>
    </row>
    <row r="274" spans="2:43" x14ac:dyDescent="0.3">
      <c r="C274" s="32"/>
      <c r="F274" t="s">
        <v>196</v>
      </c>
      <c r="G274" t="s">
        <v>172</v>
      </c>
      <c r="H274" s="121">
        <f t="shared" si="74"/>
        <v>0</v>
      </c>
      <c r="I274" s="89"/>
      <c r="J274" s="89">
        <f t="shared" ref="J274:Y274" si="80">J244 + J257 + J173</f>
        <v>0</v>
      </c>
      <c r="K274" s="89">
        <f t="shared" si="80"/>
        <v>0</v>
      </c>
      <c r="L274" s="89">
        <f t="shared" si="80"/>
        <v>0</v>
      </c>
      <c r="M274" s="89">
        <f t="shared" si="80"/>
        <v>0</v>
      </c>
      <c r="N274" s="89">
        <f t="shared" si="80"/>
        <v>0</v>
      </c>
      <c r="O274" s="89">
        <f t="shared" si="80"/>
        <v>0</v>
      </c>
      <c r="P274" s="89">
        <f t="shared" si="80"/>
        <v>0</v>
      </c>
      <c r="Q274" s="89">
        <f t="shared" si="80"/>
        <v>0</v>
      </c>
      <c r="R274" s="89">
        <f t="shared" si="80"/>
        <v>0</v>
      </c>
      <c r="S274" s="89">
        <f t="shared" si="80"/>
        <v>0</v>
      </c>
      <c r="T274" s="89">
        <f t="shared" si="80"/>
        <v>0</v>
      </c>
      <c r="U274" s="89">
        <f t="shared" si="80"/>
        <v>0</v>
      </c>
      <c r="V274" s="89">
        <f t="shared" si="80"/>
        <v>0</v>
      </c>
      <c r="W274" s="89">
        <f t="shared" si="80"/>
        <v>0</v>
      </c>
      <c r="X274" s="89">
        <f t="shared" si="80"/>
        <v>0</v>
      </c>
      <c r="Y274" s="89">
        <f t="shared" si="80"/>
        <v>0</v>
      </c>
      <c r="AQ274" s="3"/>
    </row>
    <row r="275" spans="2:43" x14ac:dyDescent="0.3">
      <c r="C275" s="32"/>
      <c r="F275" t="s">
        <v>197</v>
      </c>
      <c r="G275" t="s">
        <v>172</v>
      </c>
      <c r="H275" s="121">
        <f t="shared" si="74"/>
        <v>2771.1377559634439</v>
      </c>
      <c r="I275" s="89"/>
      <c r="J275" s="89">
        <f t="shared" ref="J275:Y275" si="81">J245 + J258 + J174</f>
        <v>1246.290489074647</v>
      </c>
      <c r="K275" s="89">
        <f t="shared" si="81"/>
        <v>2.3083443446882406</v>
      </c>
      <c r="L275" s="89">
        <f t="shared" si="81"/>
        <v>425.29365088749648</v>
      </c>
      <c r="M275" s="89">
        <f t="shared" si="81"/>
        <v>1.2791651137053486</v>
      </c>
      <c r="N275" s="89">
        <f t="shared" si="81"/>
        <v>255.62713610095159</v>
      </c>
      <c r="O275" s="89">
        <f t="shared" si="81"/>
        <v>245.49472529063979</v>
      </c>
      <c r="P275" s="89">
        <f t="shared" si="81"/>
        <v>586.1713912055842</v>
      </c>
      <c r="Q275" s="89">
        <f t="shared" si="81"/>
        <v>19.69298250013853</v>
      </c>
      <c r="R275" s="89">
        <f t="shared" si="81"/>
        <v>-0.48615247234094944</v>
      </c>
      <c r="S275" s="89">
        <f t="shared" si="81"/>
        <v>0</v>
      </c>
      <c r="T275" s="89">
        <f t="shared" si="81"/>
        <v>-8.4062022146422226</v>
      </c>
      <c r="U275" s="89">
        <f t="shared" si="81"/>
        <v>0</v>
      </c>
      <c r="V275" s="89">
        <f t="shared" si="81"/>
        <v>-2.1277738674245619</v>
      </c>
      <c r="W275" s="89">
        <f t="shared" si="81"/>
        <v>0</v>
      </c>
      <c r="X275" s="89">
        <f t="shared" si="81"/>
        <v>0</v>
      </c>
      <c r="Y275" s="89">
        <f t="shared" si="81"/>
        <v>0</v>
      </c>
      <c r="AQ275" s="3"/>
    </row>
    <row r="276" spans="2:43" x14ac:dyDescent="0.3">
      <c r="C276" s="32"/>
      <c r="F276" t="s">
        <v>198</v>
      </c>
      <c r="G276" t="s">
        <v>172</v>
      </c>
      <c r="H276" s="121">
        <f t="shared" si="74"/>
        <v>2403.4703655863855</v>
      </c>
      <c r="I276" s="89"/>
      <c r="J276" s="89">
        <f t="shared" ref="J276:Y276" si="82">J246 + J259 + J175</f>
        <v>1230.8012191339485</v>
      </c>
      <c r="K276" s="89">
        <f t="shared" si="82"/>
        <v>2.2796555526414455</v>
      </c>
      <c r="L276" s="89">
        <f t="shared" si="82"/>
        <v>420.00797453803426</v>
      </c>
      <c r="M276" s="89">
        <f t="shared" si="82"/>
        <v>1.2632672681239245</v>
      </c>
      <c r="N276" s="89">
        <f t="shared" si="82"/>
        <v>496.00821108577856</v>
      </c>
      <c r="O276" s="89">
        <f t="shared" si="82"/>
        <v>242.44364361876757</v>
      </c>
      <c r="P276" s="89">
        <f t="shared" si="82"/>
        <v>0</v>
      </c>
      <c r="Q276" s="89">
        <f t="shared" si="82"/>
        <v>19.448232239620555</v>
      </c>
      <c r="R276" s="89">
        <f t="shared" si="82"/>
        <v>-0.48011042440554563</v>
      </c>
      <c r="S276" s="89">
        <f t="shared" si="82"/>
        <v>0</v>
      </c>
      <c r="T276" s="89">
        <f t="shared" si="82"/>
        <v>-8.3017274261237244</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1839.8278582781418</v>
      </c>
      <c r="I277" s="82"/>
      <c r="J277" s="82">
        <f t="shared" ref="J277:Y277" si="83">J247 + J260 + J176</f>
        <v>930.2034686444016</v>
      </c>
      <c r="K277" s="82">
        <f t="shared" si="83"/>
        <v>0</v>
      </c>
      <c r="L277" s="82">
        <f t="shared" si="83"/>
        <v>381.55650448011164</v>
      </c>
      <c r="M277" s="82">
        <f t="shared" si="83"/>
        <v>0</v>
      </c>
      <c r="N277" s="82">
        <f t="shared" si="83"/>
        <v>508.89460435943136</v>
      </c>
      <c r="O277" s="82">
        <f t="shared" si="83"/>
        <v>0</v>
      </c>
      <c r="P277" s="82">
        <f t="shared" si="83"/>
        <v>0</v>
      </c>
      <c r="Q277" s="82">
        <f t="shared" si="83"/>
        <v>19.17328079419708</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1513019.9903896833</v>
      </c>
      <c r="K16" s="120">
        <f>'Volume adjustments'!K275</f>
        <v>0</v>
      </c>
      <c r="L16" s="120">
        <f>'Volume adjustments'!L275</f>
        <v>151741.15378691698</v>
      </c>
      <c r="M16" s="120">
        <f>'Volume adjustments'!M275</f>
        <v>0</v>
      </c>
      <c r="N16" s="120">
        <f>'Volume adjustments'!N275</f>
        <v>8313.6378812137664</v>
      </c>
      <c r="O16" s="120">
        <f>'Volume adjustments'!O275</f>
        <v>1655.738350862533</v>
      </c>
      <c r="P16" s="120">
        <f>'Volume adjustments'!P275</f>
        <v>1152.8436191996652</v>
      </c>
      <c r="Q16" s="120">
        <f>'Volume adjustments'!Q275</f>
        <v>24.817415221871428</v>
      </c>
      <c r="R16" s="120">
        <f>'Volume adjustments'!R275</f>
        <v>0</v>
      </c>
      <c r="S16" s="120">
        <f>'Volume adjustments'!S275</f>
        <v>0</v>
      </c>
      <c r="T16" s="120">
        <f>'Volume adjustments'!T275</f>
        <v>861.47352056885472</v>
      </c>
      <c r="U16" s="120">
        <f>'Volume adjustments'!U275</f>
        <v>0</v>
      </c>
      <c r="V16" s="120">
        <f>'Volume adjustments'!V275</f>
        <v>112.05985177756838</v>
      </c>
      <c r="W16" s="120">
        <f>'Volume adjustments'!W275</f>
        <v>0</v>
      </c>
      <c r="X16" s="120">
        <f>'Volume adjustments'!X275</f>
        <v>284.55473026719613</v>
      </c>
      <c r="Y16" s="120">
        <f>'Volume adjustments'!Y275</f>
        <v>0</v>
      </c>
    </row>
    <row r="17" spans="5:27" x14ac:dyDescent="0.3">
      <c r="E17" s="28" t="s">
        <v>550</v>
      </c>
      <c r="G17" s="28" t="s">
        <v>207</v>
      </c>
      <c r="J17" s="124">
        <f>'Volume adjustments'!J264</f>
        <v>5302175.5088822944</v>
      </c>
      <c r="K17" s="124">
        <f>'Volume adjustments'!K264</f>
        <v>37813.329477393563</v>
      </c>
      <c r="L17" s="124">
        <f>'Volume adjustments'!L264</f>
        <v>2094645.9614431218</v>
      </c>
      <c r="M17" s="124">
        <f>'Volume adjustments'!M264</f>
        <v>17149.671776577346</v>
      </c>
      <c r="N17" s="124">
        <f>'Volume adjustments'!N264</f>
        <v>1239373.5672481239</v>
      </c>
      <c r="O17" s="124">
        <f>'Volume adjustments'!O264</f>
        <v>705535.43385042471</v>
      </c>
      <c r="P17" s="124">
        <f>'Volume adjustments'!P264</f>
        <v>2349235.1488123066</v>
      </c>
      <c r="Q17" s="124">
        <f>'Volume adjustments'!Q264</f>
        <v>117709.94724846938</v>
      </c>
      <c r="R17" s="124">
        <f>'Volume adjustments'!R264</f>
        <v>3300.7884209498711</v>
      </c>
      <c r="S17" s="124">
        <f>'Volume adjustments'!S264</f>
        <v>0</v>
      </c>
      <c r="T17" s="124">
        <f>'Volume adjustments'!T264</f>
        <v>66908.697059982354</v>
      </c>
      <c r="U17" s="124">
        <f>'Volume adjustments'!U264</f>
        <v>0</v>
      </c>
      <c r="V17" s="124">
        <f>'Volume adjustments'!V264</f>
        <v>17798.383329103795</v>
      </c>
      <c r="W17" s="124">
        <f>'Volume adjustments'!W264</f>
        <v>0</v>
      </c>
      <c r="X17" s="124">
        <f>'Volume adjustments'!X264</f>
        <v>555805.09461590042</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372311069.78091604</v>
      </c>
      <c r="K27" s="126">
        <f t="shared" si="0"/>
        <v>0</v>
      </c>
      <c r="L27" s="126">
        <f t="shared" si="0"/>
        <v>109483536.27802932</v>
      </c>
      <c r="M27" s="126">
        <f t="shared" si="0"/>
        <v>0</v>
      </c>
      <c r="N27" s="126">
        <f t="shared" si="0"/>
        <v>11967664.537000544</v>
      </c>
      <c r="O27" s="126">
        <f t="shared" si="0"/>
        <v>1860555.8484761564</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11959402.072914824</v>
      </c>
      <c r="Q28" s="98">
        <f t="shared" si="1"/>
        <v>0</v>
      </c>
      <c r="R28" s="98">
        <f t="shared" si="1"/>
        <v>0</v>
      </c>
      <c r="S28" s="98">
        <f t="shared" si="1"/>
        <v>0</v>
      </c>
      <c r="T28" s="98">
        <f t="shared" si="1"/>
        <v>0</v>
      </c>
      <c r="U28" s="98">
        <f t="shared" si="1"/>
        <v>0</v>
      </c>
      <c r="V28" s="98">
        <f t="shared" si="1"/>
        <v>0</v>
      </c>
      <c r="W28" s="98">
        <f t="shared" si="1"/>
        <v>0</v>
      </c>
      <c r="X28" s="98">
        <f t="shared" si="1"/>
        <v>1847438.7796036489</v>
      </c>
      <c r="Y28" s="98">
        <f t="shared" si="1"/>
        <v>0</v>
      </c>
    </row>
    <row r="29" spans="5:27" x14ac:dyDescent="0.3">
      <c r="F29" s="37" t="s">
        <v>553</v>
      </c>
      <c r="G29" s="37" t="s">
        <v>277</v>
      </c>
      <c r="H29" s="130"/>
      <c r="I29" s="37"/>
      <c r="J29" s="306"/>
      <c r="K29" s="306"/>
      <c r="L29" s="306"/>
      <c r="M29" s="306"/>
      <c r="N29" s="306"/>
      <c r="O29" s="306"/>
      <c r="P29" s="306"/>
      <c r="Q29" s="153">
        <f t="shared" ref="Q29" si="2">Q23 * Q$17</f>
        <v>32743163.259305716</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528365989.70372778</v>
      </c>
      <c r="I33" s="23"/>
      <c r="J33" s="158">
        <f t="shared" ref="J33:Y33" si="3">J27 +J29</f>
        <v>372311069.78091604</v>
      </c>
      <c r="K33" s="158">
        <f t="shared" si="3"/>
        <v>0</v>
      </c>
      <c r="L33" s="158">
        <f t="shared" si="3"/>
        <v>109483536.27802932</v>
      </c>
      <c r="M33" s="158">
        <f t="shared" si="3"/>
        <v>0</v>
      </c>
      <c r="N33" s="158">
        <f t="shared" si="3"/>
        <v>11967664.537000544</v>
      </c>
      <c r="O33" s="158">
        <f t="shared" si="3"/>
        <v>1860555.8484761564</v>
      </c>
      <c r="P33" s="158">
        <f t="shared" si="3"/>
        <v>0</v>
      </c>
      <c r="Q33" s="158">
        <f t="shared" si="3"/>
        <v>32743163.259305716</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13806840.852518473</v>
      </c>
      <c r="I34" s="37"/>
      <c r="J34" s="167">
        <f t="shared" ref="J34:Y34" si="4">J28</f>
        <v>0</v>
      </c>
      <c r="K34" s="167">
        <f t="shared" si="4"/>
        <v>0</v>
      </c>
      <c r="L34" s="167">
        <f t="shared" si="4"/>
        <v>0</v>
      </c>
      <c r="M34" s="167">
        <f t="shared" si="4"/>
        <v>0</v>
      </c>
      <c r="N34" s="167">
        <f t="shared" si="4"/>
        <v>0</v>
      </c>
      <c r="O34" s="167">
        <f t="shared" si="4"/>
        <v>0</v>
      </c>
      <c r="P34" s="167">
        <f t="shared" si="4"/>
        <v>11959402.072914824</v>
      </c>
      <c r="Q34" s="167">
        <f t="shared" si="4"/>
        <v>0</v>
      </c>
      <c r="R34" s="167">
        <f t="shared" si="4"/>
        <v>0</v>
      </c>
      <c r="S34" s="167">
        <f t="shared" si="4"/>
        <v>0</v>
      </c>
      <c r="T34" s="167">
        <f t="shared" si="4"/>
        <v>0</v>
      </c>
      <c r="U34" s="167">
        <f t="shared" si="4"/>
        <v>0</v>
      </c>
      <c r="V34" s="167">
        <f t="shared" si="4"/>
        <v>0</v>
      </c>
      <c r="W34" s="167">
        <f t="shared" si="4"/>
        <v>0</v>
      </c>
      <c r="X34" s="167">
        <f t="shared" si="4"/>
        <v>1847438.7796036489</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South West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1.0009999999999999</v>
      </c>
      <c r="M31" s="120">
        <f>'Load &amp; loss characteristics'!M29</f>
        <v>1.004</v>
      </c>
      <c r="N31" s="120">
        <f>'Load &amp; loss characteristics'!N29</f>
        <v>1.0109999999999999</v>
      </c>
      <c r="O31" s="120">
        <f>'Load &amp; loss characteristics'!O29</f>
        <v>1.016</v>
      </c>
      <c r="P31" s="120">
        <f>'Load &amp; loss characteristics'!P29</f>
        <v>1.016</v>
      </c>
      <c r="Q31" s="120">
        <f>'Load &amp; loss characteristics'!Q29</f>
        <v>1.0329999999999999</v>
      </c>
      <c r="R31" s="120">
        <f>'Load &amp; loss characteristics'!R29</f>
        <v>1.046</v>
      </c>
      <c r="S31" s="120">
        <f>'Load &amp; loss characteristics'!S29</f>
        <v>1.0609999999999999</v>
      </c>
      <c r="T31" s="79"/>
      <c r="U31" s="79"/>
    </row>
    <row r="32" spans="3:25" x14ac:dyDescent="0.3">
      <c r="E32" t="s">
        <v>572</v>
      </c>
      <c r="F32" s="177"/>
      <c r="G32" s="28" t="s">
        <v>167</v>
      </c>
      <c r="H32" s="3"/>
      <c r="I32" s="3"/>
      <c r="J32" s="178"/>
      <c r="K32" s="179">
        <f>'Load &amp; loss characteristics'!$K$23</f>
        <v>2.200000000000002E-2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0.97847358121330719</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489.23679060665359</v>
      </c>
      <c r="L40" s="182">
        <f t="shared" si="0"/>
        <v>488.74804256408953</v>
      </c>
      <c r="M40" s="182">
        <f t="shared" si="0"/>
        <v>487.28764004646769</v>
      </c>
      <c r="N40" s="182">
        <f t="shared" si="0"/>
        <v>483.9137394724566</v>
      </c>
      <c r="O40" s="182">
        <f t="shared" si="0"/>
        <v>481.53227421914721</v>
      </c>
      <c r="P40" s="182">
        <f t="shared" si="0"/>
        <v>481.53227421914721</v>
      </c>
      <c r="Q40" s="182">
        <f t="shared" si="0"/>
        <v>473.60773534041977</v>
      </c>
      <c r="R40" s="182">
        <f t="shared" si="0"/>
        <v>467.72159713829211</v>
      </c>
      <c r="S40" s="182">
        <f t="shared" si="0"/>
        <v>461.10913346527201</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v>
      </c>
      <c r="Q46" s="180"/>
      <c r="R46" s="180"/>
      <c r="S46" s="180"/>
      <c r="T46" s="180"/>
      <c r="U46" s="180"/>
      <c r="W46" s="3"/>
    </row>
    <row r="47" spans="3:23" x14ac:dyDescent="0.3">
      <c r="E47" s="28" t="s">
        <v>578</v>
      </c>
      <c r="G47" s="28" t="s">
        <v>167</v>
      </c>
      <c r="H47" s="3"/>
      <c r="I47" s="3"/>
      <c r="J47" s="180"/>
      <c r="K47" s="180"/>
      <c r="L47" s="180"/>
      <c r="M47" s="176">
        <f>IF(M46 = "", 1 - $P$46, M46)</f>
        <v>1</v>
      </c>
      <c r="N47" s="176">
        <f>IF(N46 = "", 1 - $P$46, N46)</f>
        <v>1</v>
      </c>
      <c r="O47" s="176">
        <f>IF(O46 = "", 1 - $P$46, O46)</f>
        <v>1</v>
      </c>
      <c r="P47" s="176">
        <f>IF(P46 = "", 1 - $P$46, P46)</f>
        <v>0</v>
      </c>
      <c r="Q47" s="180"/>
      <c r="R47" s="180"/>
      <c r="S47" s="180"/>
      <c r="T47" s="180"/>
      <c r="U47" s="180"/>
      <c r="W47" s="3"/>
    </row>
    <row r="48" spans="3:23" x14ac:dyDescent="0.3">
      <c r="E48" s="28" t="s">
        <v>579</v>
      </c>
      <c r="G48" s="28" t="s">
        <v>172</v>
      </c>
      <c r="H48" s="3"/>
      <c r="I48" s="3"/>
      <c r="J48" s="79"/>
      <c r="K48" s="98">
        <f t="shared" ref="K48:S48" si="1">IF(K47 = "", K40, K47 * K40)</f>
        <v>489.23679060665359</v>
      </c>
      <c r="L48" s="98">
        <f t="shared" si="1"/>
        <v>488.74804256408953</v>
      </c>
      <c r="M48" s="98">
        <f t="shared" si="1"/>
        <v>487.28764004646769</v>
      </c>
      <c r="N48" s="98">
        <f t="shared" si="1"/>
        <v>483.9137394724566</v>
      </c>
      <c r="O48" s="98">
        <f t="shared" si="1"/>
        <v>481.53227421914721</v>
      </c>
      <c r="P48" s="98">
        <f t="shared" si="1"/>
        <v>0</v>
      </c>
      <c r="Q48" s="98">
        <f t="shared" si="1"/>
        <v>473.60773534041977</v>
      </c>
      <c r="R48" s="98">
        <f t="shared" si="1"/>
        <v>467.72159713829211</v>
      </c>
      <c r="S48" s="98">
        <f t="shared" si="1"/>
        <v>461.10913346527201</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119997950.17931181</v>
      </c>
      <c r="M54" s="120">
        <f>'Inputs by network level'!M33</f>
        <v>17016318.446544141</v>
      </c>
      <c r="N54" s="120">
        <f>'Inputs by network level'!N33</f>
        <v>44656157.054293722</v>
      </c>
      <c r="O54" s="120">
        <f>'Inputs by network level'!O33</f>
        <v>43065035.799319491</v>
      </c>
      <c r="P54" s="120">
        <f>'Inputs by network level'!P33</f>
        <v>0</v>
      </c>
      <c r="Q54" s="120">
        <f>'Inputs by network level'!Q33</f>
        <v>165280869.95073906</v>
      </c>
      <c r="R54" s="120">
        <f>'Inputs by network level'!R33</f>
        <v>71591243.09634316</v>
      </c>
      <c r="S54" s="120">
        <f>'Inputs by network level'!S33</f>
        <v>170272161.25255236</v>
      </c>
      <c r="T54" s="79"/>
      <c r="U54" s="79"/>
      <c r="W54" s="3"/>
    </row>
    <row r="55" spans="2:23" x14ac:dyDescent="0.3">
      <c r="E55" t="s">
        <v>582</v>
      </c>
      <c r="F55" s="177"/>
      <c r="G55" s="28" t="s">
        <v>583</v>
      </c>
      <c r="H55" s="3"/>
      <c r="I55" s="3"/>
      <c r="J55" s="79"/>
      <c r="K55" s="79"/>
      <c r="L55" s="98">
        <f t="shared" ref="L55:S55" si="2">IF(L48 = 0, 0, L54 / (L48 * thousand))</f>
        <v>245.52108597667987</v>
      </c>
      <c r="M55" s="98">
        <f t="shared" si="2"/>
        <v>34.920480324355168</v>
      </c>
      <c r="N55" s="98">
        <f t="shared" si="2"/>
        <v>92.281234054185106</v>
      </c>
      <c r="O55" s="98">
        <f t="shared" si="2"/>
        <v>89.433332104589994</v>
      </c>
      <c r="P55" s="98">
        <f t="shared" si="2"/>
        <v>0</v>
      </c>
      <c r="Q55" s="98">
        <f t="shared" si="2"/>
        <v>348.98262341922788</v>
      </c>
      <c r="R55" s="98">
        <f t="shared" si="2"/>
        <v>153.06379592981602</v>
      </c>
      <c r="S55" s="98">
        <f t="shared" si="2"/>
        <v>369.26651175383029</v>
      </c>
      <c r="T55" s="79"/>
      <c r="U55" s="79"/>
      <c r="W55" s="3"/>
    </row>
    <row r="56" spans="2:23" x14ac:dyDescent="0.3">
      <c r="E56" t="s">
        <v>584</v>
      </c>
      <c r="F56" s="177"/>
      <c r="G56" s="28" t="s">
        <v>585</v>
      </c>
      <c r="H56" s="3"/>
      <c r="I56" s="3" t="s">
        <v>154</v>
      </c>
      <c r="J56" s="79"/>
      <c r="K56" s="79"/>
      <c r="L56" s="98">
        <f t="shared" ref="L56:S56" si="3">L55 * $H$25</f>
        <v>11.07282208248572</v>
      </c>
      <c r="M56" s="98">
        <f t="shared" si="3"/>
        <v>1.5748882183718209</v>
      </c>
      <c r="N56" s="98">
        <f t="shared" si="3"/>
        <v>4.1618164165796667</v>
      </c>
      <c r="O56" s="98">
        <f t="shared" si="3"/>
        <v>4.0333781137317146</v>
      </c>
      <c r="P56" s="98">
        <f t="shared" si="3"/>
        <v>0</v>
      </c>
      <c r="Q56" s="98">
        <f t="shared" si="3"/>
        <v>15.738862035529026</v>
      </c>
      <c r="R56" s="98">
        <f t="shared" si="3"/>
        <v>6.9030656689166614</v>
      </c>
      <c r="S56" s="98">
        <f t="shared" si="3"/>
        <v>16.65365061988464</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2308.1315510395725</v>
      </c>
      <c r="L64" s="120">
        <v>2297.6816478738483</v>
      </c>
      <c r="M64" s="120">
        <v>2290.8160652606789</v>
      </c>
      <c r="N64" s="120">
        <v>2351.2221398372917</v>
      </c>
      <c r="O64" s="120">
        <v>2756.698579321097</v>
      </c>
      <c r="P64" s="120">
        <v>0</v>
      </c>
      <c r="Q64" s="120">
        <v>2771.1377559634439</v>
      </c>
      <c r="R64" s="120">
        <v>2403.4703655863855</v>
      </c>
      <c r="S64" s="120">
        <v>1839.8278582781418</v>
      </c>
      <c r="T64" s="79"/>
      <c r="U64" s="79"/>
    </row>
    <row r="65" spans="3:24" x14ac:dyDescent="0.3">
      <c r="E65" s="28" t="s">
        <v>590</v>
      </c>
      <c r="F65" s="28"/>
      <c r="G65" s="28" t="s">
        <v>172</v>
      </c>
      <c r="H65" s="102"/>
      <c r="J65" s="98">
        <f>K64</f>
        <v>2308.1315510395725</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2308131.5510395723</v>
      </c>
      <c r="K67" s="98">
        <f t="shared" si="4"/>
        <v>2308131.5510395723</v>
      </c>
      <c r="L67" s="98">
        <f t="shared" si="4"/>
        <v>2297681.6478738482</v>
      </c>
      <c r="M67" s="98">
        <f t="shared" si="4"/>
        <v>2290816.065260679</v>
      </c>
      <c r="N67" s="98">
        <f t="shared" si="4"/>
        <v>2351222.1398372916</v>
      </c>
      <c r="O67" s="98">
        <f t="shared" si="4"/>
        <v>2756698.5793210971</v>
      </c>
      <c r="P67" s="98">
        <f t="shared" si="4"/>
        <v>0</v>
      </c>
      <c r="Q67" s="98">
        <f t="shared" si="4"/>
        <v>2771137.7559634438</v>
      </c>
      <c r="R67" s="98">
        <f t="shared" si="4"/>
        <v>2403470.3655863856</v>
      </c>
      <c r="S67" s="98">
        <f t="shared" si="4"/>
        <v>1839827.8582781418</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564129293.41467452</v>
      </c>
      <c r="M73" s="98">
        <f t="shared" si="5"/>
        <v>79996397.333652273</v>
      </c>
      <c r="N73" s="98">
        <f t="shared" si="5"/>
        <v>216973680.59970704</v>
      </c>
      <c r="O73" s="98">
        <f t="shared" si="5"/>
        <v>246540739.55667511</v>
      </c>
      <c r="P73" s="98">
        <f t="shared" si="5"/>
        <v>0</v>
      </c>
      <c r="Q73" s="98">
        <f t="shared" si="5"/>
        <v>967078923.93219471</v>
      </c>
      <c r="R73" s="98">
        <f t="shared" si="5"/>
        <v>367884297.56147486</v>
      </c>
      <c r="S73" s="98">
        <f t="shared" si="5"/>
        <v>679386815.45388985</v>
      </c>
      <c r="T73" s="79"/>
      <c r="U73" s="79"/>
      <c r="X73" s="63"/>
    </row>
    <row r="74" spans="3:24" x14ac:dyDescent="0.3">
      <c r="E74" s="28" t="s">
        <v>593</v>
      </c>
      <c r="F74" s="28"/>
      <c r="G74" s="28" t="s">
        <v>277</v>
      </c>
      <c r="J74" s="79"/>
      <c r="K74" s="79"/>
      <c r="L74" s="79"/>
      <c r="M74" s="79"/>
      <c r="N74" s="79"/>
      <c r="O74" s="79"/>
      <c r="P74" s="79"/>
      <c r="Q74" s="79"/>
      <c r="R74" s="79"/>
      <c r="S74" s="79"/>
      <c r="T74" s="120">
        <f>'Service model assets'!H33</f>
        <v>528365989.70372778</v>
      </c>
      <c r="U74" s="120">
        <f>'Service model assets'!H34</f>
        <v>13806840.852518473</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564129293.41467452</v>
      </c>
      <c r="M76" s="98">
        <f t="shared" si="6"/>
        <v>79996397.333652273</v>
      </c>
      <c r="N76" s="98">
        <f t="shared" si="6"/>
        <v>216973680.59970704</v>
      </c>
      <c r="O76" s="98">
        <f t="shared" si="6"/>
        <v>246540739.55667511</v>
      </c>
      <c r="P76" s="98">
        <f t="shared" si="6"/>
        <v>0</v>
      </c>
      <c r="Q76" s="98">
        <f t="shared" si="6"/>
        <v>967078923.93219471</v>
      </c>
      <c r="R76" s="98">
        <f t="shared" si="6"/>
        <v>367884297.56147486</v>
      </c>
      <c r="S76" s="98">
        <f t="shared" si="6"/>
        <v>679386815.45388985</v>
      </c>
      <c r="T76" s="98">
        <f t="shared" si="6"/>
        <v>528365989.70372778</v>
      </c>
      <c r="U76" s="98">
        <f t="shared" si="6"/>
        <v>13806840.852518473</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0.15395857027617732</v>
      </c>
      <c r="M78" s="145">
        <f t="shared" si="7"/>
        <v>2.1832106760818197E-2</v>
      </c>
      <c r="N78" s="145">
        <f t="shared" si="7"/>
        <v>5.9215073641169465E-2</v>
      </c>
      <c r="O78" s="145">
        <f t="shared" si="7"/>
        <v>6.7284326873407019E-2</v>
      </c>
      <c r="P78" s="145">
        <f t="shared" si="7"/>
        <v>0</v>
      </c>
      <c r="Q78" s="145">
        <f t="shared" si="7"/>
        <v>0.26392901452004569</v>
      </c>
      <c r="R78" s="145">
        <f t="shared" si="7"/>
        <v>0.10040063712484236</v>
      </c>
      <c r="S78" s="145">
        <f t="shared" si="7"/>
        <v>0.18541391839207255</v>
      </c>
      <c r="T78" s="145">
        <f t="shared" si="7"/>
        <v>0.14419827742848307</v>
      </c>
      <c r="U78" s="145">
        <f t="shared" si="7"/>
        <v>3.7680749829843295E-3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42469907.740630858</v>
      </c>
      <c r="L86" s="63"/>
      <c r="M86" s="63"/>
      <c r="N86" s="63"/>
      <c r="O86" s="63"/>
      <c r="P86" s="63"/>
      <c r="Q86" s="63"/>
      <c r="R86" s="63"/>
      <c r="S86" s="63"/>
      <c r="T86" s="63"/>
      <c r="U86" s="63"/>
    </row>
    <row r="87" spans="3:23" x14ac:dyDescent="0.3">
      <c r="E87" s="28" t="s">
        <v>361</v>
      </c>
      <c r="F87" s="28"/>
      <c r="G87" s="28" t="s">
        <v>357</v>
      </c>
      <c r="H87" s="120">
        <f>'General inputs'!H103</f>
        <v>113775314.19333273</v>
      </c>
      <c r="L87" s="63"/>
      <c r="M87" s="63"/>
      <c r="N87" s="63"/>
      <c r="O87" s="63"/>
      <c r="P87" s="63"/>
      <c r="Q87" s="63"/>
      <c r="R87" s="63"/>
      <c r="S87" s="63"/>
      <c r="T87" s="63"/>
      <c r="U87" s="63"/>
    </row>
    <row r="88" spans="3:23" x14ac:dyDescent="0.3">
      <c r="E88" s="28" t="s">
        <v>362</v>
      </c>
      <c r="F88" s="28"/>
      <c r="G88" s="28" t="s">
        <v>357</v>
      </c>
      <c r="H88" s="120">
        <f>'General inputs'!H104</f>
        <v>20599994.426368002</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131335090.68299848</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20220162.788646542</v>
      </c>
      <c r="M97" s="98">
        <f t="shared" si="8"/>
        <v>2867321.7212329619</v>
      </c>
      <c r="N97" s="98">
        <f t="shared" si="8"/>
        <v>7777017.0664634248</v>
      </c>
      <c r="O97" s="98">
        <f t="shared" si="8"/>
        <v>8836793.1714634225</v>
      </c>
      <c r="P97" s="98">
        <f t="shared" si="8"/>
        <v>0</v>
      </c>
      <c r="Q97" s="98">
        <f t="shared" si="8"/>
        <v>34663141.055864625</v>
      </c>
      <c r="R97" s="98">
        <f t="shared" si="8"/>
        <v>13186126.781421995</v>
      </c>
      <c r="S97" s="98">
        <f t="shared" si="8"/>
        <v>24351353.785912927</v>
      </c>
      <c r="T97" s="98">
        <f t="shared" si="8"/>
        <v>18938293.842401996</v>
      </c>
      <c r="U97" s="98">
        <f t="shared" si="8"/>
        <v>494880.46959058486</v>
      </c>
      <c r="W97" s="3" t="s">
        <v>602</v>
      </c>
    </row>
    <row r="98" spans="2:23" x14ac:dyDescent="0.3">
      <c r="E98" s="28" t="s">
        <v>356</v>
      </c>
      <c r="F98" s="28"/>
      <c r="G98" s="28" t="s">
        <v>357</v>
      </c>
      <c r="H98" s="63"/>
      <c r="I98" s="63"/>
      <c r="J98" s="120">
        <f>'General inputs'!$H$97</f>
        <v>7882274.8188666767</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3.4150024141026689</v>
      </c>
      <c r="K100" s="98">
        <f t="shared" si="9"/>
        <v>0</v>
      </c>
      <c r="L100" s="98">
        <f t="shared" si="9"/>
        <v>8.8002455898784753</v>
      </c>
      <c r="M100" s="98">
        <f t="shared" si="9"/>
        <v>1.2516595132689889</v>
      </c>
      <c r="N100" s="98">
        <f t="shared" si="9"/>
        <v>3.3076487902591829</v>
      </c>
      <c r="O100" s="98">
        <f t="shared" si="9"/>
        <v>3.2055710543586864</v>
      </c>
      <c r="P100" s="98">
        <f t="shared" si="9"/>
        <v>0</v>
      </c>
      <c r="Q100" s="98">
        <f t="shared" si="9"/>
        <v>12.508631511107705</v>
      </c>
      <c r="R100" s="98">
        <f t="shared" si="9"/>
        <v>5.4862864007915135</v>
      </c>
      <c r="S100" s="98">
        <f t="shared" si="9"/>
        <v>13.235669672217526</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564129293.41467452</v>
      </c>
      <c r="M108" s="121">
        <f t="shared" si="10"/>
        <v>79996397.333652273</v>
      </c>
      <c r="N108" s="121">
        <f t="shared" si="10"/>
        <v>216973680.59970704</v>
      </c>
      <c r="O108" s="121">
        <f t="shared" si="10"/>
        <v>246540739.55667511</v>
      </c>
      <c r="P108" s="121">
        <f t="shared" si="10"/>
        <v>0</v>
      </c>
      <c r="Q108" s="121">
        <f t="shared" si="10"/>
        <v>967078923.93219471</v>
      </c>
      <c r="R108" s="121">
        <f t="shared" si="10"/>
        <v>367884297.56147486</v>
      </c>
      <c r="S108" s="121">
        <f t="shared" si="10"/>
        <v>679386815.45388985</v>
      </c>
      <c r="T108" s="121">
        <f t="shared" si="10"/>
        <v>528365989.70372778</v>
      </c>
      <c r="U108" s="121">
        <f t="shared" si="10"/>
        <v>13806840.852518473</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11.07282208248572</v>
      </c>
      <c r="M114" s="121">
        <f t="shared" si="11"/>
        <v>1.5748882183718209</v>
      </c>
      <c r="N114" s="121">
        <f t="shared" si="11"/>
        <v>4.1618164165796667</v>
      </c>
      <c r="O114" s="121">
        <f t="shared" si="11"/>
        <v>4.0333781137317146</v>
      </c>
      <c r="P114" s="121">
        <f t="shared" si="11"/>
        <v>0</v>
      </c>
      <c r="Q114" s="121">
        <f t="shared" si="11"/>
        <v>15.738862035529026</v>
      </c>
      <c r="R114" s="121">
        <f t="shared" si="11"/>
        <v>6.9030656689166614</v>
      </c>
      <c r="S114" s="121">
        <f t="shared" si="11"/>
        <v>16.65365061988464</v>
      </c>
      <c r="T114" s="79"/>
      <c r="U114" s="79"/>
    </row>
    <row r="115" spans="2:24" x14ac:dyDescent="0.3">
      <c r="B115" s="29"/>
      <c r="E115" t="s">
        <v>603</v>
      </c>
      <c r="F115" s="28"/>
      <c r="G115" s="28" t="s">
        <v>604</v>
      </c>
      <c r="J115" s="121">
        <f t="shared" ref="J115:S115" si="12">J100</f>
        <v>3.4150024141026689</v>
      </c>
      <c r="K115" s="121">
        <f t="shared" si="12"/>
        <v>0</v>
      </c>
      <c r="L115" s="121">
        <f t="shared" si="12"/>
        <v>8.8002455898784753</v>
      </c>
      <c r="M115" s="121">
        <f t="shared" si="12"/>
        <v>1.2516595132689889</v>
      </c>
      <c r="N115" s="121">
        <f t="shared" si="12"/>
        <v>3.3076487902591829</v>
      </c>
      <c r="O115" s="121">
        <f t="shared" si="12"/>
        <v>3.2055710543586864</v>
      </c>
      <c r="P115" s="121">
        <f t="shared" si="12"/>
        <v>0</v>
      </c>
      <c r="Q115" s="121">
        <f t="shared" si="12"/>
        <v>12.508631511107705</v>
      </c>
      <c r="R115" s="121">
        <f t="shared" si="12"/>
        <v>5.4862864007915135</v>
      </c>
      <c r="S115" s="121">
        <f t="shared" si="12"/>
        <v>13.235669672217526</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131335090.68299848</v>
      </c>
    </row>
    <row r="123" spans="2:24" x14ac:dyDescent="0.3">
      <c r="E123" t="s">
        <v>594</v>
      </c>
      <c r="F123" s="28"/>
      <c r="G123" s="28" t="s">
        <v>277</v>
      </c>
      <c r="H123" s="121">
        <f>SUM(K76:U76)</f>
        <v>3664162978.4085145</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11.07282208248572</v>
      </c>
    </row>
    <row r="21" spans="5:27" x14ac:dyDescent="0.3">
      <c r="F21" s="191" t="s">
        <v>193</v>
      </c>
      <c r="G21" s="28" t="s">
        <v>585</v>
      </c>
      <c r="H21" s="194">
        <v>1.5748882183718209</v>
      </c>
    </row>
    <row r="22" spans="5:27" x14ac:dyDescent="0.3">
      <c r="F22" s="191" t="s">
        <v>194</v>
      </c>
      <c r="G22" s="28" t="s">
        <v>585</v>
      </c>
      <c r="H22" s="194">
        <v>4.1618164165796667</v>
      </c>
    </row>
    <row r="23" spans="5:27" x14ac:dyDescent="0.3">
      <c r="F23" s="191" t="s">
        <v>195</v>
      </c>
      <c r="G23" s="28" t="s">
        <v>585</v>
      </c>
      <c r="H23" s="194">
        <v>4.0333781137317146</v>
      </c>
    </row>
    <row r="24" spans="5:27" x14ac:dyDescent="0.3">
      <c r="F24" s="191" t="s">
        <v>196</v>
      </c>
      <c r="G24" s="28" t="s">
        <v>585</v>
      </c>
      <c r="H24" s="194">
        <v>0</v>
      </c>
    </row>
    <row r="25" spans="5:27" x14ac:dyDescent="0.3">
      <c r="F25" s="191" t="s">
        <v>197</v>
      </c>
      <c r="G25" s="28" t="s">
        <v>585</v>
      </c>
      <c r="H25" s="194">
        <v>15.738862035529026</v>
      </c>
    </row>
    <row r="26" spans="5:27" x14ac:dyDescent="0.3">
      <c r="F26" s="191" t="s">
        <v>198</v>
      </c>
      <c r="G26" s="28" t="s">
        <v>585</v>
      </c>
      <c r="H26" s="194">
        <v>6.9030656689166614</v>
      </c>
    </row>
    <row r="27" spans="5:27" x14ac:dyDescent="0.3">
      <c r="F27" s="192" t="s">
        <v>199</v>
      </c>
      <c r="G27" s="67" t="s">
        <v>585</v>
      </c>
      <c r="H27" s="195">
        <v>16.65365061988464</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3.4150024141026689</v>
      </c>
    </row>
    <row r="31" spans="5:27" x14ac:dyDescent="0.3">
      <c r="F31" s="191" t="s">
        <v>191</v>
      </c>
      <c r="G31" s="28" t="s">
        <v>604</v>
      </c>
      <c r="H31" s="194">
        <v>0</v>
      </c>
    </row>
    <row r="32" spans="5:27" x14ac:dyDescent="0.3">
      <c r="F32" s="191" t="s">
        <v>192</v>
      </c>
      <c r="G32" s="28" t="s">
        <v>604</v>
      </c>
      <c r="H32" s="194">
        <v>8.8002455898784753</v>
      </c>
    </row>
    <row r="33" spans="5:16" x14ac:dyDescent="0.3">
      <c r="F33" s="191" t="s">
        <v>193</v>
      </c>
      <c r="G33" s="28" t="s">
        <v>604</v>
      </c>
      <c r="H33" s="194">
        <v>1.2516595132689889</v>
      </c>
      <c r="J33" s="63"/>
      <c r="K33" s="63"/>
      <c r="L33" s="63"/>
      <c r="M33" s="63"/>
      <c r="N33" s="63"/>
    </row>
    <row r="34" spans="5:16" x14ac:dyDescent="0.3">
      <c r="F34" s="191" t="s">
        <v>194</v>
      </c>
      <c r="G34" s="28" t="s">
        <v>604</v>
      </c>
      <c r="H34" s="194">
        <v>3.3076487902591829</v>
      </c>
      <c r="J34" s="63"/>
      <c r="K34" s="63"/>
      <c r="L34" s="63"/>
      <c r="M34" s="63"/>
      <c r="N34" s="63"/>
    </row>
    <row r="35" spans="5:16" x14ac:dyDescent="0.3">
      <c r="F35" s="191" t="s">
        <v>195</v>
      </c>
      <c r="G35" s="28" t="s">
        <v>604</v>
      </c>
      <c r="H35" s="194">
        <v>3.2055710543586864</v>
      </c>
      <c r="J35" s="63"/>
      <c r="K35" s="63"/>
      <c r="L35" s="63"/>
      <c r="M35" s="63"/>
      <c r="N35" s="63"/>
    </row>
    <row r="36" spans="5:16" x14ac:dyDescent="0.3">
      <c r="F36" s="191" t="s">
        <v>196</v>
      </c>
      <c r="G36" s="28" t="s">
        <v>604</v>
      </c>
      <c r="H36" s="194">
        <v>0</v>
      </c>
      <c r="J36" s="63"/>
      <c r="K36" s="63"/>
      <c r="L36" s="63"/>
      <c r="M36" s="63"/>
      <c r="N36" s="63"/>
    </row>
    <row r="37" spans="5:16" x14ac:dyDescent="0.3">
      <c r="F37" s="191" t="s">
        <v>197</v>
      </c>
      <c r="G37" s="28" t="s">
        <v>604</v>
      </c>
      <c r="H37" s="194">
        <v>12.508631511107705</v>
      </c>
      <c r="J37" s="63"/>
      <c r="K37" s="63"/>
      <c r="L37" s="63"/>
      <c r="M37" s="63"/>
      <c r="N37" s="63"/>
      <c r="O37" s="63"/>
    </row>
    <row r="38" spans="5:16" x14ac:dyDescent="0.3">
      <c r="F38" s="191" t="s">
        <v>198</v>
      </c>
      <c r="G38" s="28" t="s">
        <v>604</v>
      </c>
      <c r="H38" s="194">
        <v>5.4862864007915135</v>
      </c>
      <c r="J38" s="63"/>
      <c r="K38" s="63"/>
      <c r="L38" s="63"/>
      <c r="M38" s="63"/>
      <c r="N38" s="63"/>
      <c r="O38" s="63"/>
    </row>
    <row r="39" spans="5:16" x14ac:dyDescent="0.3">
      <c r="F39" s="192" t="s">
        <v>199</v>
      </c>
      <c r="G39" s="67" t="s">
        <v>604</v>
      </c>
      <c r="H39" s="195">
        <v>13.235669672217526</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1.0009999999999999</v>
      </c>
      <c r="I45" s="3"/>
      <c r="J45" s="63"/>
      <c r="K45" s="63"/>
      <c r="L45" s="63"/>
      <c r="M45" s="63"/>
      <c r="N45" s="63"/>
      <c r="O45" s="63"/>
    </row>
    <row r="46" spans="5:16" x14ac:dyDescent="0.3">
      <c r="F46" t="s">
        <v>193</v>
      </c>
      <c r="G46" t="s">
        <v>283</v>
      </c>
      <c r="H46" s="120">
        <v>1.004</v>
      </c>
      <c r="J46" s="63"/>
      <c r="K46" s="63"/>
      <c r="L46" s="63"/>
      <c r="M46" s="63"/>
      <c r="N46" s="63"/>
      <c r="O46" s="63"/>
    </row>
    <row r="47" spans="5:16" x14ac:dyDescent="0.3">
      <c r="F47" t="s">
        <v>194</v>
      </c>
      <c r="G47" t="s">
        <v>283</v>
      </c>
      <c r="H47" s="120">
        <v>1.0109999999999999</v>
      </c>
      <c r="I47" s="3"/>
      <c r="J47" s="63"/>
      <c r="K47" s="63"/>
      <c r="L47" s="63"/>
      <c r="M47" s="63"/>
      <c r="N47" s="63"/>
      <c r="O47" s="63"/>
    </row>
    <row r="48" spans="5:16" x14ac:dyDescent="0.3">
      <c r="F48" t="s">
        <v>195</v>
      </c>
      <c r="G48" t="s">
        <v>283</v>
      </c>
      <c r="H48" s="120">
        <v>1.016</v>
      </c>
      <c r="I48" s="3"/>
      <c r="J48" s="63"/>
      <c r="K48" s="63"/>
      <c r="L48" s="63"/>
      <c r="M48" s="63"/>
      <c r="N48" s="63"/>
      <c r="O48" s="63"/>
    </row>
    <row r="49" spans="4:25" x14ac:dyDescent="0.3">
      <c r="F49" t="s">
        <v>196</v>
      </c>
      <c r="G49" t="s">
        <v>283</v>
      </c>
      <c r="H49" s="120">
        <v>1.016</v>
      </c>
      <c r="I49" s="3"/>
      <c r="J49" s="63"/>
      <c r="K49" s="63"/>
      <c r="L49" s="63"/>
      <c r="M49" s="63"/>
      <c r="N49" s="63"/>
      <c r="O49" s="63"/>
    </row>
    <row r="50" spans="4:25" x14ac:dyDescent="0.3">
      <c r="F50" t="s">
        <v>197</v>
      </c>
      <c r="G50" t="s">
        <v>283</v>
      </c>
      <c r="H50" s="120">
        <v>1.0329999999999999</v>
      </c>
      <c r="J50" s="63"/>
      <c r="K50" s="63"/>
      <c r="L50" s="63"/>
      <c r="M50" s="63"/>
      <c r="N50" s="63"/>
      <c r="O50" s="63"/>
    </row>
    <row r="51" spans="4:25" x14ac:dyDescent="0.3">
      <c r="F51" t="s">
        <v>198</v>
      </c>
      <c r="G51" t="s">
        <v>283</v>
      </c>
      <c r="H51" s="120">
        <v>1.046</v>
      </c>
      <c r="I51" s="3"/>
      <c r="J51" s="63"/>
      <c r="K51" s="63"/>
      <c r="L51" s="63"/>
      <c r="M51" s="63"/>
      <c r="N51" s="63"/>
      <c r="O51" s="63"/>
    </row>
    <row r="52" spans="4:25" x14ac:dyDescent="0.3">
      <c r="F52" s="37" t="s">
        <v>199</v>
      </c>
      <c r="G52" s="37" t="s">
        <v>283</v>
      </c>
      <c r="H52" s="125">
        <v>1.0609999999999999</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1.0609999999999999</v>
      </c>
      <c r="K55" s="193">
        <v>1.0609999999999999</v>
      </c>
      <c r="L55" s="193">
        <v>1.0609999999999999</v>
      </c>
      <c r="M55" s="193">
        <v>1.0609999999999999</v>
      </c>
      <c r="N55" s="193">
        <v>1.0609999999999999</v>
      </c>
      <c r="O55" s="193">
        <v>1.046</v>
      </c>
      <c r="P55" s="193">
        <v>1.0329999999999999</v>
      </c>
      <c r="Q55" s="193">
        <v>1.0609999999999999</v>
      </c>
      <c r="R55" s="193">
        <v>-1.0609999999999999</v>
      </c>
      <c r="S55" s="193">
        <v>-1.046</v>
      </c>
      <c r="T55" s="193">
        <v>-1.0609999999999999</v>
      </c>
      <c r="U55" s="193">
        <v>-1.0609999999999999</v>
      </c>
      <c r="V55" s="193">
        <v>-1.046</v>
      </c>
      <c r="W55" s="193">
        <v>-1.046</v>
      </c>
      <c r="X55" s="193">
        <v>-1.0329999999999999</v>
      </c>
      <c r="Y55" s="193">
        <v>-1.0329999999999999</v>
      </c>
    </row>
    <row r="56" spans="4:25" x14ac:dyDescent="0.3">
      <c r="D56" s="32"/>
      <c r="E56" s="32"/>
      <c r="F56" s="191" t="s">
        <v>191</v>
      </c>
      <c r="G56" t="s">
        <v>283</v>
      </c>
      <c r="J56" s="194">
        <v>1.0609999999999999</v>
      </c>
      <c r="K56" s="194">
        <v>1.0609999999999999</v>
      </c>
      <c r="L56" s="194">
        <v>1.0609999999999999</v>
      </c>
      <c r="M56" s="194">
        <v>1.0609999999999999</v>
      </c>
      <c r="N56" s="194">
        <v>1.0609999999999999</v>
      </c>
      <c r="O56" s="194">
        <v>1.046</v>
      </c>
      <c r="P56" s="194">
        <v>1.0329999999999999</v>
      </c>
      <c r="Q56" s="194">
        <v>1.0609999999999999</v>
      </c>
      <c r="R56" s="194">
        <v>-1.0609999999999999</v>
      </c>
      <c r="S56" s="194">
        <v>-1.046</v>
      </c>
      <c r="T56" s="194">
        <v>-1.0609999999999999</v>
      </c>
      <c r="U56" s="194">
        <v>-1.0609999999999999</v>
      </c>
      <c r="V56" s="194">
        <v>-1.046</v>
      </c>
      <c r="W56" s="194">
        <v>-1.046</v>
      </c>
      <c r="X56" s="194">
        <v>-1.0329999999999999</v>
      </c>
      <c r="Y56" s="194">
        <v>-1.0329999999999999</v>
      </c>
    </row>
    <row r="57" spans="4:25" x14ac:dyDescent="0.3">
      <c r="D57" s="32"/>
      <c r="E57" s="32"/>
      <c r="F57" s="191" t="s">
        <v>192</v>
      </c>
      <c r="G57" t="s">
        <v>283</v>
      </c>
      <c r="J57" s="194">
        <v>1.0609999999999999</v>
      </c>
      <c r="K57" s="194">
        <v>1.0609999999999999</v>
      </c>
      <c r="L57" s="194">
        <v>1.0609999999999999</v>
      </c>
      <c r="M57" s="194">
        <v>1.0609999999999999</v>
      </c>
      <c r="N57" s="194">
        <v>1.0609999999999999</v>
      </c>
      <c r="O57" s="194">
        <v>1.046</v>
      </c>
      <c r="P57" s="194">
        <v>1.0329999999999999</v>
      </c>
      <c r="Q57" s="194">
        <v>1.0609999999999999</v>
      </c>
      <c r="R57" s="194">
        <v>-1.0609999999999999</v>
      </c>
      <c r="S57" s="194">
        <v>-1.046</v>
      </c>
      <c r="T57" s="194">
        <v>-1.0609999999999999</v>
      </c>
      <c r="U57" s="194">
        <v>-1.0609999999999999</v>
      </c>
      <c r="V57" s="194">
        <v>-1.046</v>
      </c>
      <c r="W57" s="194">
        <v>-1.046</v>
      </c>
      <c r="X57" s="194">
        <v>-1.0329999999999999</v>
      </c>
      <c r="Y57" s="194">
        <v>-1.0329999999999999</v>
      </c>
    </row>
    <row r="58" spans="4:25" x14ac:dyDescent="0.3">
      <c r="D58" s="32"/>
      <c r="E58" s="32"/>
      <c r="F58" s="191" t="s">
        <v>193</v>
      </c>
      <c r="G58" t="s">
        <v>283</v>
      </c>
      <c r="J58" s="194">
        <v>1.0609999999999999</v>
      </c>
      <c r="K58" s="194">
        <v>1.0609999999999999</v>
      </c>
      <c r="L58" s="194">
        <v>1.0609999999999999</v>
      </c>
      <c r="M58" s="194">
        <v>1.0609999999999999</v>
      </c>
      <c r="N58" s="194">
        <v>1.0609999999999999</v>
      </c>
      <c r="O58" s="194">
        <v>1.046</v>
      </c>
      <c r="P58" s="194">
        <v>1.0329999999999999</v>
      </c>
      <c r="Q58" s="194">
        <v>1.0609999999999999</v>
      </c>
      <c r="R58" s="194">
        <v>-1.0609999999999999</v>
      </c>
      <c r="S58" s="194">
        <v>-1.046</v>
      </c>
      <c r="T58" s="194">
        <v>-1.0609999999999999</v>
      </c>
      <c r="U58" s="194">
        <v>-1.0609999999999999</v>
      </c>
      <c r="V58" s="194">
        <v>-1.046</v>
      </c>
      <c r="W58" s="194">
        <v>-1.046</v>
      </c>
      <c r="X58" s="194">
        <v>-1.0329999999999999</v>
      </c>
      <c r="Y58" s="194">
        <v>-1.0329999999999999</v>
      </c>
    </row>
    <row r="59" spans="4:25" x14ac:dyDescent="0.3">
      <c r="D59" s="32"/>
      <c r="E59" s="32"/>
      <c r="F59" s="191" t="s">
        <v>194</v>
      </c>
      <c r="G59" t="s">
        <v>283</v>
      </c>
      <c r="J59" s="194">
        <v>1.0609999999999999</v>
      </c>
      <c r="K59" s="194">
        <v>1.0609999999999999</v>
      </c>
      <c r="L59" s="194">
        <v>1.0609999999999999</v>
      </c>
      <c r="M59" s="194">
        <v>1.0609999999999999</v>
      </c>
      <c r="N59" s="194">
        <v>1.0609999999999999</v>
      </c>
      <c r="O59" s="194">
        <v>1.046</v>
      </c>
      <c r="P59" s="194">
        <v>1.0329999999999999</v>
      </c>
      <c r="Q59" s="194">
        <v>1.0609999999999999</v>
      </c>
      <c r="R59" s="194">
        <v>-1.0609999999999999</v>
      </c>
      <c r="S59" s="194">
        <v>-1.046</v>
      </c>
      <c r="T59" s="194">
        <v>-1.0609999999999999</v>
      </c>
      <c r="U59" s="194">
        <v>-1.0609999999999999</v>
      </c>
      <c r="V59" s="194">
        <v>-1.046</v>
      </c>
      <c r="W59" s="194">
        <v>-1.046</v>
      </c>
      <c r="X59" s="194">
        <v>-1.0329999999999999</v>
      </c>
      <c r="Y59" s="194">
        <v>-1.0329999999999999</v>
      </c>
    </row>
    <row r="60" spans="4:25" x14ac:dyDescent="0.3">
      <c r="D60" s="32"/>
      <c r="E60" s="32"/>
      <c r="F60" s="191" t="s">
        <v>195</v>
      </c>
      <c r="G60" t="s">
        <v>283</v>
      </c>
      <c r="J60" s="194">
        <v>1.0609999999999999</v>
      </c>
      <c r="K60" s="194">
        <v>1.0609999999999999</v>
      </c>
      <c r="L60" s="194">
        <v>1.0609999999999999</v>
      </c>
      <c r="M60" s="194">
        <v>1.0609999999999999</v>
      </c>
      <c r="N60" s="194">
        <v>1.0609999999999999</v>
      </c>
      <c r="O60" s="194">
        <v>1.046</v>
      </c>
      <c r="P60" s="194">
        <v>1.0329999999999999</v>
      </c>
      <c r="Q60" s="194">
        <v>1.0609999999999999</v>
      </c>
      <c r="R60" s="194">
        <v>-1.0609999999999999</v>
      </c>
      <c r="S60" s="194">
        <v>-1.046</v>
      </c>
      <c r="T60" s="194">
        <v>-1.0609999999999999</v>
      </c>
      <c r="U60" s="194">
        <v>-1.0609999999999999</v>
      </c>
      <c r="V60" s="194">
        <v>-1.046</v>
      </c>
      <c r="W60" s="194">
        <v>-1.046</v>
      </c>
      <c r="X60" s="194">
        <v>-1.0329999999999999</v>
      </c>
      <c r="Y60" s="194">
        <v>-1.0329999999999999</v>
      </c>
    </row>
    <row r="61" spans="4:25" x14ac:dyDescent="0.3">
      <c r="D61" s="32"/>
      <c r="E61" s="32"/>
      <c r="F61" s="191" t="s">
        <v>196</v>
      </c>
      <c r="G61" t="s">
        <v>283</v>
      </c>
      <c r="J61" s="194">
        <v>0</v>
      </c>
      <c r="K61" s="194">
        <v>0</v>
      </c>
      <c r="L61" s="194">
        <v>0</v>
      </c>
      <c r="M61" s="194">
        <v>0</v>
      </c>
      <c r="N61" s="194">
        <v>0</v>
      </c>
      <c r="O61" s="194">
        <v>0</v>
      </c>
      <c r="P61" s="194">
        <v>0</v>
      </c>
      <c r="Q61" s="194">
        <v>0</v>
      </c>
      <c r="R61" s="194">
        <v>0</v>
      </c>
      <c r="S61" s="194">
        <v>0</v>
      </c>
      <c r="T61" s="194">
        <v>0</v>
      </c>
      <c r="U61" s="194">
        <v>0</v>
      </c>
      <c r="V61" s="194">
        <v>0</v>
      </c>
      <c r="W61" s="194">
        <v>0</v>
      </c>
      <c r="X61" s="194">
        <v>0</v>
      </c>
      <c r="Y61" s="194">
        <v>0</v>
      </c>
    </row>
    <row r="62" spans="4:25" x14ac:dyDescent="0.3">
      <c r="D62" s="32"/>
      <c r="E62" s="32"/>
      <c r="F62" s="191" t="s">
        <v>197</v>
      </c>
      <c r="G62" t="s">
        <v>283</v>
      </c>
      <c r="J62" s="194">
        <v>1.0609999999999999</v>
      </c>
      <c r="K62" s="194">
        <v>1.0609999999999999</v>
      </c>
      <c r="L62" s="194">
        <v>1.0609999999999999</v>
      </c>
      <c r="M62" s="194">
        <v>1.0609999999999999</v>
      </c>
      <c r="N62" s="194">
        <v>1.0609999999999999</v>
      </c>
      <c r="O62" s="194">
        <v>1.046</v>
      </c>
      <c r="P62" s="194">
        <v>1.0329999999999999</v>
      </c>
      <c r="Q62" s="194">
        <v>1.0609999999999999</v>
      </c>
      <c r="R62" s="194">
        <v>-1.0609999999999999</v>
      </c>
      <c r="S62" s="194">
        <v>-1.046</v>
      </c>
      <c r="T62" s="194">
        <v>-1.0609999999999999</v>
      </c>
      <c r="U62" s="194">
        <v>-1.0609999999999999</v>
      </c>
      <c r="V62" s="194">
        <v>-1.046</v>
      </c>
      <c r="W62" s="194">
        <v>-1.046</v>
      </c>
      <c r="X62" s="194">
        <v>0</v>
      </c>
      <c r="Y62" s="194">
        <v>0</v>
      </c>
    </row>
    <row r="63" spans="4:25" x14ac:dyDescent="0.3">
      <c r="D63" s="32"/>
      <c r="E63" s="32"/>
      <c r="F63" s="191" t="s">
        <v>198</v>
      </c>
      <c r="G63" t="s">
        <v>283</v>
      </c>
      <c r="J63" s="194">
        <v>1.0609999999999999</v>
      </c>
      <c r="K63" s="194">
        <v>1.0609999999999999</v>
      </c>
      <c r="L63" s="194">
        <v>1.0609999999999999</v>
      </c>
      <c r="M63" s="194">
        <v>1.0609999999999999</v>
      </c>
      <c r="N63" s="194">
        <v>1.0609999999999999</v>
      </c>
      <c r="O63" s="194">
        <v>1.046</v>
      </c>
      <c r="P63" s="194">
        <v>0</v>
      </c>
      <c r="Q63" s="194">
        <v>1.0609999999999999</v>
      </c>
      <c r="R63" s="194">
        <v>-1.0609999999999999</v>
      </c>
      <c r="S63" s="194">
        <v>0</v>
      </c>
      <c r="T63" s="194">
        <v>-1.0609999999999999</v>
      </c>
      <c r="U63" s="194">
        <v>-1.0609999999999999</v>
      </c>
      <c r="V63" s="194">
        <v>0</v>
      </c>
      <c r="W63" s="194">
        <v>0</v>
      </c>
      <c r="X63" s="194">
        <v>0</v>
      </c>
      <c r="Y63" s="194">
        <v>0</v>
      </c>
    </row>
    <row r="64" spans="4:25" x14ac:dyDescent="0.3">
      <c r="D64" s="32"/>
      <c r="E64" s="32"/>
      <c r="F64" s="192" t="s">
        <v>199</v>
      </c>
      <c r="G64" s="37" t="s">
        <v>283</v>
      </c>
      <c r="H64" s="37"/>
      <c r="I64" s="37"/>
      <c r="J64" s="195">
        <v>1.0609999999999999</v>
      </c>
      <c r="K64" s="195">
        <v>1.0609999999999999</v>
      </c>
      <c r="L64" s="195">
        <v>1.0609999999999999</v>
      </c>
      <c r="M64" s="195">
        <v>1.0609999999999999</v>
      </c>
      <c r="N64" s="195">
        <v>1.0609999999999999</v>
      </c>
      <c r="O64" s="195">
        <v>0</v>
      </c>
      <c r="P64" s="195">
        <v>0</v>
      </c>
      <c r="Q64" s="195">
        <v>1.0609999999999999</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0.67</v>
      </c>
      <c r="Q70" s="194">
        <v>0</v>
      </c>
      <c r="R70" s="194">
        <v>0</v>
      </c>
      <c r="S70" s="194">
        <v>0</v>
      </c>
      <c r="T70" s="194">
        <v>0</v>
      </c>
      <c r="U70" s="194">
        <v>0</v>
      </c>
      <c r="V70" s="194">
        <v>0</v>
      </c>
      <c r="W70" s="194">
        <v>0</v>
      </c>
      <c r="X70" s="194">
        <v>0.67</v>
      </c>
      <c r="Y70" s="194">
        <v>0.67</v>
      </c>
    </row>
    <row r="71" spans="3:25" x14ac:dyDescent="0.3">
      <c r="D71" s="32"/>
      <c r="E71" s="32"/>
      <c r="F71" s="191" t="s">
        <v>194</v>
      </c>
      <c r="G71" s="28" t="s">
        <v>167</v>
      </c>
      <c r="J71" s="194">
        <v>0</v>
      </c>
      <c r="K71" s="194">
        <v>0</v>
      </c>
      <c r="L71" s="194">
        <v>0</v>
      </c>
      <c r="M71" s="194">
        <v>0</v>
      </c>
      <c r="N71" s="194">
        <v>0</v>
      </c>
      <c r="O71" s="194">
        <v>0</v>
      </c>
      <c r="P71" s="194">
        <v>0.67</v>
      </c>
      <c r="Q71" s="194">
        <v>0</v>
      </c>
      <c r="R71" s="194">
        <v>0</v>
      </c>
      <c r="S71" s="194">
        <v>0</v>
      </c>
      <c r="T71" s="194">
        <v>0</v>
      </c>
      <c r="U71" s="194">
        <v>0</v>
      </c>
      <c r="V71" s="194">
        <v>0</v>
      </c>
      <c r="W71" s="194">
        <v>0</v>
      </c>
      <c r="X71" s="194">
        <v>0.67</v>
      </c>
      <c r="Y71" s="194">
        <v>0.67</v>
      </c>
    </row>
    <row r="72" spans="3:25" x14ac:dyDescent="0.3">
      <c r="D72" s="32"/>
      <c r="E72" s="32"/>
      <c r="F72" s="191" t="s">
        <v>195</v>
      </c>
      <c r="G72" s="28" t="s">
        <v>167</v>
      </c>
      <c r="J72" s="194">
        <v>0.81</v>
      </c>
      <c r="K72" s="194">
        <v>0.81</v>
      </c>
      <c r="L72" s="194">
        <v>0.81</v>
      </c>
      <c r="M72" s="194">
        <v>0.81</v>
      </c>
      <c r="N72" s="194">
        <v>0.81</v>
      </c>
      <c r="O72" s="194">
        <v>0.81</v>
      </c>
      <c r="P72" s="194">
        <v>1</v>
      </c>
      <c r="Q72" s="194">
        <v>0.81</v>
      </c>
      <c r="R72" s="194">
        <v>0.81</v>
      </c>
      <c r="S72" s="194">
        <v>0.81</v>
      </c>
      <c r="T72" s="194">
        <v>0.81</v>
      </c>
      <c r="U72" s="194">
        <v>0.81</v>
      </c>
      <c r="V72" s="194">
        <v>0.81</v>
      </c>
      <c r="W72" s="194">
        <v>0.81</v>
      </c>
      <c r="X72" s="194">
        <v>1</v>
      </c>
      <c r="Y72" s="194">
        <v>1</v>
      </c>
    </row>
    <row r="73" spans="3:25" x14ac:dyDescent="0.3">
      <c r="D73" s="32"/>
      <c r="E73" s="32"/>
      <c r="F73" s="191" t="s">
        <v>196</v>
      </c>
      <c r="G73" s="28" t="s">
        <v>167</v>
      </c>
      <c r="J73" s="194">
        <v>0</v>
      </c>
      <c r="K73" s="194">
        <v>0</v>
      </c>
      <c r="L73" s="194">
        <v>0</v>
      </c>
      <c r="M73" s="194">
        <v>0</v>
      </c>
      <c r="N73" s="194">
        <v>0</v>
      </c>
      <c r="O73" s="194">
        <v>0</v>
      </c>
      <c r="P73" s="194">
        <v>0</v>
      </c>
      <c r="Q73" s="194">
        <v>0</v>
      </c>
      <c r="R73" s="194">
        <v>0</v>
      </c>
      <c r="S73" s="194">
        <v>0</v>
      </c>
      <c r="T73" s="194">
        <v>0</v>
      </c>
      <c r="U73" s="194">
        <v>0</v>
      </c>
      <c r="V73" s="194">
        <v>0</v>
      </c>
      <c r="W73" s="194">
        <v>0</v>
      </c>
      <c r="X73" s="194">
        <v>0</v>
      </c>
      <c r="Y73" s="194">
        <v>0</v>
      </c>
    </row>
    <row r="74" spans="3:25" x14ac:dyDescent="0.3">
      <c r="D74" s="32"/>
      <c r="E74" s="32"/>
      <c r="F74" s="191" t="s">
        <v>197</v>
      </c>
      <c r="G74" s="28" t="s">
        <v>167</v>
      </c>
      <c r="J74" s="194">
        <v>0.81</v>
      </c>
      <c r="K74" s="194">
        <v>0.81</v>
      </c>
      <c r="L74" s="194">
        <v>0.81</v>
      </c>
      <c r="M74" s="194">
        <v>0.81</v>
      </c>
      <c r="N74" s="194">
        <v>0.81</v>
      </c>
      <c r="O74" s="194">
        <v>0.81</v>
      </c>
      <c r="P74" s="194">
        <v>1</v>
      </c>
      <c r="Q74" s="194">
        <v>0.81</v>
      </c>
      <c r="R74" s="194">
        <v>0.81</v>
      </c>
      <c r="S74" s="194">
        <v>0.81</v>
      </c>
      <c r="T74" s="194">
        <v>0.81</v>
      </c>
      <c r="U74" s="194">
        <v>0.81</v>
      </c>
      <c r="V74" s="194">
        <v>0.81</v>
      </c>
      <c r="W74" s="194">
        <v>0.81</v>
      </c>
      <c r="X74" s="194">
        <v>1</v>
      </c>
      <c r="Y74" s="194">
        <v>1</v>
      </c>
    </row>
    <row r="75" spans="3:25" x14ac:dyDescent="0.3">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3">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2.1096612546980307</v>
      </c>
      <c r="K78" s="194">
        <f>'Pseudo-load coefficients'!K267</f>
        <v>2.1096612546980307</v>
      </c>
      <c r="L78" s="194">
        <f>'Pseudo-load coefficients'!L267</f>
        <v>1.6059110591609009</v>
      </c>
      <c r="M78" s="194">
        <f>'Pseudo-load coefficients'!M267</f>
        <v>1.6059110591609009</v>
      </c>
      <c r="N78" s="194">
        <f>'Pseudo-load coefficients'!N267</f>
        <v>1.3169173645892358</v>
      </c>
      <c r="O78" s="194">
        <f>'Pseudo-load coefficients'!O267</f>
        <v>1.2001683191523771</v>
      </c>
      <c r="P78" s="194">
        <f>'Pseudo-load coefficients'!P267</f>
        <v>1.0578125160661582</v>
      </c>
      <c r="Q78" s="194">
        <f>'Pseudo-load coefficients'!Q267</f>
        <v>1.9573195052283816</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24.543348162285486</v>
      </c>
      <c r="K81" s="433">
        <f>'Pseudo-load coefficients'!K272</f>
        <v>24.543348162285486</v>
      </c>
      <c r="L81" s="433">
        <f>'Pseudo-load coefficients'!L272</f>
        <v>22.24175919755891</v>
      </c>
      <c r="M81" s="433">
        <f>'Pseudo-load coefficients'!M272</f>
        <v>22.24175919755891</v>
      </c>
      <c r="N81" s="433">
        <f>'Pseudo-load coefficients'!N272</f>
        <v>16.376816069662247</v>
      </c>
      <c r="O81" s="433">
        <f>'Pseudo-load coefficients'!O272</f>
        <v>16.195150191511249</v>
      </c>
      <c r="P81" s="433">
        <f>'Pseudo-load coefficients'!P272</f>
        <v>14.828470754772843</v>
      </c>
      <c r="Q81" s="433">
        <f>'Pseudo-load coefficients'!Q272</f>
        <v>46.861214592791434</v>
      </c>
      <c r="R81" s="433">
        <f>'Pseudo-load coefficients'!R272</f>
        <v>14.594705185804997</v>
      </c>
      <c r="S81" s="433">
        <f>'Pseudo-load coefficients'!S272</f>
        <v>14.594705185804997</v>
      </c>
      <c r="T81" s="433">
        <f>'Pseudo-load coefficients'!T272</f>
        <v>14.594705185804997</v>
      </c>
      <c r="U81" s="433">
        <f>'Pseudo-load coefficients'!U272</f>
        <v>14.594705185804997</v>
      </c>
      <c r="V81" s="433">
        <f>'Pseudo-load coefficients'!V272</f>
        <v>14.594705185804997</v>
      </c>
      <c r="W81" s="433">
        <f>'Pseudo-load coefficients'!W272</f>
        <v>14.594705185804997</v>
      </c>
      <c r="X81" s="433">
        <f>'Pseudo-load coefficients'!X272</f>
        <v>14.594705185804997</v>
      </c>
      <c r="Y81" s="433">
        <f>'Pseudo-load coefficients'!Y272</f>
        <v>14.594705185804997</v>
      </c>
    </row>
    <row r="82" spans="5:25" x14ac:dyDescent="0.3">
      <c r="E82" s="32"/>
      <c r="F82" s="191" t="s">
        <v>191</v>
      </c>
      <c r="G82" s="28" t="s">
        <v>283</v>
      </c>
      <c r="J82" s="194">
        <f>'Pseudo-load coefficients'!J272</f>
        <v>24.543348162285486</v>
      </c>
      <c r="K82" s="194">
        <f>'Pseudo-load coefficients'!K272</f>
        <v>24.543348162285486</v>
      </c>
      <c r="L82" s="194">
        <f>'Pseudo-load coefficients'!L272</f>
        <v>22.24175919755891</v>
      </c>
      <c r="M82" s="194">
        <f>'Pseudo-load coefficients'!M272</f>
        <v>22.24175919755891</v>
      </c>
      <c r="N82" s="194">
        <f>'Pseudo-load coefficients'!N272</f>
        <v>16.376816069662247</v>
      </c>
      <c r="O82" s="194">
        <f>'Pseudo-load coefficients'!O272</f>
        <v>16.195150191511249</v>
      </c>
      <c r="P82" s="194">
        <f>'Pseudo-load coefficients'!P272</f>
        <v>14.828470754772843</v>
      </c>
      <c r="Q82" s="194">
        <f>'Pseudo-load coefficients'!Q272</f>
        <v>46.861214592791434</v>
      </c>
      <c r="R82" s="194">
        <f>'Pseudo-load coefficients'!R272</f>
        <v>14.594705185804997</v>
      </c>
      <c r="S82" s="194">
        <f>'Pseudo-load coefficients'!S272</f>
        <v>14.594705185804997</v>
      </c>
      <c r="T82" s="194">
        <f>'Pseudo-load coefficients'!T272</f>
        <v>14.594705185804997</v>
      </c>
      <c r="U82" s="194">
        <f>'Pseudo-load coefficients'!U272</f>
        <v>14.594705185804997</v>
      </c>
      <c r="V82" s="194">
        <f>'Pseudo-load coefficients'!V272</f>
        <v>14.594705185804997</v>
      </c>
      <c r="W82" s="194">
        <f>'Pseudo-load coefficients'!W272</f>
        <v>14.594705185804997</v>
      </c>
      <c r="X82" s="194">
        <f>'Pseudo-load coefficients'!X272</f>
        <v>14.594705185804997</v>
      </c>
      <c r="Y82" s="194">
        <f>'Pseudo-load coefficients'!Y272</f>
        <v>14.594705185804997</v>
      </c>
    </row>
    <row r="83" spans="5:25" x14ac:dyDescent="0.3">
      <c r="E83" s="32"/>
      <c r="F83" s="191" t="s">
        <v>192</v>
      </c>
      <c r="G83" s="28" t="s">
        <v>283</v>
      </c>
      <c r="J83" s="194">
        <f>'Pseudo-load coefficients'!J273</f>
        <v>24.330727394359741</v>
      </c>
      <c r="K83" s="194">
        <f>'Pseudo-load coefficients'!K273</f>
        <v>24.330727394359741</v>
      </c>
      <c r="L83" s="194">
        <f>'Pseudo-load coefficients'!L273</f>
        <v>22.049077258267864</v>
      </c>
      <c r="M83" s="194">
        <f>'Pseudo-load coefficients'!M273</f>
        <v>22.049077258267864</v>
      </c>
      <c r="N83" s="194">
        <f>'Pseudo-load coefficients'!N273</f>
        <v>16.234942549151263</v>
      </c>
      <c r="O83" s="194">
        <f>'Pseudo-load coefficients'!O273</f>
        <v>16.05485045540258</v>
      </c>
      <c r="P83" s="194">
        <f>'Pseudo-load coefficients'!P273</f>
        <v>14.700010659671024</v>
      </c>
      <c r="Q83" s="194">
        <f>'Pseudo-load coefficients'!Q273</f>
        <v>54.923589878690656</v>
      </c>
      <c r="R83" s="194">
        <f>'Pseudo-load coefficients'!R273</f>
        <v>14.46827021842658</v>
      </c>
      <c r="S83" s="194">
        <f>'Pseudo-load coefficients'!S273</f>
        <v>14.46827021842658</v>
      </c>
      <c r="T83" s="194">
        <f>'Pseudo-load coefficients'!T273</f>
        <v>14.46827021842658</v>
      </c>
      <c r="U83" s="194">
        <f>'Pseudo-load coefficients'!U273</f>
        <v>14.46827021842658</v>
      </c>
      <c r="V83" s="194">
        <f>'Pseudo-load coefficients'!V273</f>
        <v>14.46827021842658</v>
      </c>
      <c r="W83" s="194">
        <f>'Pseudo-load coefficients'!W273</f>
        <v>14.46827021842658</v>
      </c>
      <c r="X83" s="194">
        <f>'Pseudo-load coefficients'!X273</f>
        <v>14.46827021842658</v>
      </c>
      <c r="Y83" s="194">
        <f>'Pseudo-load coefficients'!Y273</f>
        <v>14.46827021842658</v>
      </c>
    </row>
    <row r="84" spans="5:25" x14ac:dyDescent="0.3">
      <c r="E84" s="32"/>
      <c r="F84" s="191" t="s">
        <v>193</v>
      </c>
      <c r="G84" s="28" t="s">
        <v>283</v>
      </c>
      <c r="J84" s="194">
        <f>'Pseudo-load coefficients'!J274</f>
        <v>24.330727394359741</v>
      </c>
      <c r="K84" s="194">
        <f>'Pseudo-load coefficients'!K274</f>
        <v>24.330727394359741</v>
      </c>
      <c r="L84" s="194">
        <f>'Pseudo-load coefficients'!L274</f>
        <v>22.049077258267864</v>
      </c>
      <c r="M84" s="194">
        <f>'Pseudo-load coefficients'!M274</f>
        <v>22.049077258267864</v>
      </c>
      <c r="N84" s="194">
        <f>'Pseudo-load coefficients'!N274</f>
        <v>16.234942549151263</v>
      </c>
      <c r="O84" s="194">
        <f>'Pseudo-load coefficients'!O274</f>
        <v>16.05485045540258</v>
      </c>
      <c r="P84" s="194">
        <f>'Pseudo-load coefficients'!P274</f>
        <v>14.700010659671024</v>
      </c>
      <c r="Q84" s="194">
        <f>'Pseudo-load coefficients'!Q274</f>
        <v>54.923589878690656</v>
      </c>
      <c r="R84" s="194">
        <f>'Pseudo-load coefficients'!R274</f>
        <v>14.46827021842658</v>
      </c>
      <c r="S84" s="194">
        <f>'Pseudo-load coefficients'!S274</f>
        <v>14.46827021842658</v>
      </c>
      <c r="T84" s="194">
        <f>'Pseudo-load coefficients'!T274</f>
        <v>14.46827021842658</v>
      </c>
      <c r="U84" s="194">
        <f>'Pseudo-load coefficients'!U274</f>
        <v>14.46827021842658</v>
      </c>
      <c r="V84" s="194">
        <f>'Pseudo-load coefficients'!V274</f>
        <v>14.46827021842658</v>
      </c>
      <c r="W84" s="194">
        <f>'Pseudo-load coefficients'!W274</f>
        <v>14.46827021842658</v>
      </c>
      <c r="X84" s="194">
        <f>'Pseudo-load coefficients'!X274</f>
        <v>14.46827021842658</v>
      </c>
      <c r="Y84" s="194">
        <f>'Pseudo-load coefficients'!Y274</f>
        <v>14.46827021842658</v>
      </c>
    </row>
    <row r="85" spans="5:25" x14ac:dyDescent="0.3">
      <c r="E85" s="32"/>
      <c r="F85" s="191" t="s">
        <v>194</v>
      </c>
      <c r="G85" s="28" t="s">
        <v>283</v>
      </c>
      <c r="J85" s="194">
        <f>'Pseudo-load coefficients'!J275</f>
        <v>17.377662573562574</v>
      </c>
      <c r="K85" s="194">
        <f>'Pseudo-load coefficients'!K275</f>
        <v>17.377662573562574</v>
      </c>
      <c r="L85" s="194">
        <f>'Pseudo-load coefficients'!L275</f>
        <v>15.74804642878923</v>
      </c>
      <c r="M85" s="194">
        <f>'Pseudo-load coefficients'!M275</f>
        <v>15.74804642878923</v>
      </c>
      <c r="N85" s="194">
        <f>'Pseudo-load coefficients'!N275</f>
        <v>11.595434404715977</v>
      </c>
      <c r="O85" s="194">
        <f>'Pseudo-load coefficients'!O275</f>
        <v>11.466807767846236</v>
      </c>
      <c r="P85" s="194">
        <f>'Pseudo-load coefficients'!P275</f>
        <v>10.499144597327327</v>
      </c>
      <c r="Q85" s="194">
        <f>'Pseudo-load coefficients'!Q275</f>
        <v>34.134714042368934</v>
      </c>
      <c r="R85" s="194">
        <f>'Pseudo-load coefficients'!R275</f>
        <v>10.333629315875939</v>
      </c>
      <c r="S85" s="194">
        <f>'Pseudo-load coefficients'!S275</f>
        <v>10.333629315875939</v>
      </c>
      <c r="T85" s="194">
        <f>'Pseudo-load coefficients'!T275</f>
        <v>10.333629315875939</v>
      </c>
      <c r="U85" s="194">
        <f>'Pseudo-load coefficients'!U275</f>
        <v>10.333629315875939</v>
      </c>
      <c r="V85" s="194">
        <f>'Pseudo-load coefficients'!V275</f>
        <v>10.333629315875939</v>
      </c>
      <c r="W85" s="194">
        <f>'Pseudo-load coefficients'!W275</f>
        <v>10.333629315875939</v>
      </c>
      <c r="X85" s="194">
        <f>'Pseudo-load coefficients'!X275</f>
        <v>10.333629315875939</v>
      </c>
      <c r="Y85" s="194">
        <f>'Pseudo-load coefficients'!Y275</f>
        <v>10.333629315875939</v>
      </c>
    </row>
    <row r="86" spans="5:25" x14ac:dyDescent="0.3">
      <c r="E86" s="32"/>
      <c r="F86" s="191" t="s">
        <v>195</v>
      </c>
      <c r="G86" s="28" t="s">
        <v>283</v>
      </c>
      <c r="J86" s="194">
        <f>'Pseudo-load coefficients'!J276</f>
        <v>17.377662573562574</v>
      </c>
      <c r="K86" s="194">
        <f>'Pseudo-load coefficients'!K276</f>
        <v>17.377662573562574</v>
      </c>
      <c r="L86" s="194">
        <f>'Pseudo-load coefficients'!L276</f>
        <v>15.74804642878923</v>
      </c>
      <c r="M86" s="194">
        <f>'Pseudo-load coefficients'!M276</f>
        <v>15.74804642878923</v>
      </c>
      <c r="N86" s="194">
        <f>'Pseudo-load coefficients'!N276</f>
        <v>11.595434404715977</v>
      </c>
      <c r="O86" s="194">
        <f>'Pseudo-load coefficients'!O276</f>
        <v>11.466807767846236</v>
      </c>
      <c r="P86" s="194">
        <f>'Pseudo-load coefficients'!P276</f>
        <v>10.499144597327327</v>
      </c>
      <c r="Q86" s="194">
        <f>'Pseudo-load coefficients'!Q276</f>
        <v>34.134714042368934</v>
      </c>
      <c r="R86" s="194">
        <f>'Pseudo-load coefficients'!R276</f>
        <v>10.333629315875939</v>
      </c>
      <c r="S86" s="194">
        <f>'Pseudo-load coefficients'!S276</f>
        <v>10.333629315875939</v>
      </c>
      <c r="T86" s="194">
        <f>'Pseudo-load coefficients'!T276</f>
        <v>10.333629315875939</v>
      </c>
      <c r="U86" s="194">
        <f>'Pseudo-load coefficients'!U276</f>
        <v>10.333629315875939</v>
      </c>
      <c r="V86" s="194">
        <f>'Pseudo-load coefficients'!V276</f>
        <v>10.333629315875939</v>
      </c>
      <c r="W86" s="194">
        <f>'Pseudo-load coefficients'!W276</f>
        <v>10.333629315875939</v>
      </c>
      <c r="X86" s="194">
        <f>'Pseudo-load coefficients'!X276</f>
        <v>10.333629315875939</v>
      </c>
      <c r="Y86" s="194">
        <f>'Pseudo-load coefficients'!Y276</f>
        <v>10.333629315875939</v>
      </c>
    </row>
    <row r="87" spans="5:25" x14ac:dyDescent="0.3">
      <c r="E87" s="32"/>
      <c r="F87" s="191" t="s">
        <v>196</v>
      </c>
      <c r="G87" s="28" t="s">
        <v>283</v>
      </c>
      <c r="J87" s="194">
        <f>'Pseudo-load coefficients'!J277</f>
        <v>24.330727394359741</v>
      </c>
      <c r="K87" s="194">
        <f>'Pseudo-load coefficients'!K277</f>
        <v>24.330727394359741</v>
      </c>
      <c r="L87" s="194">
        <f>'Pseudo-load coefficients'!L277</f>
        <v>22.049077258267864</v>
      </c>
      <c r="M87" s="194">
        <f>'Pseudo-load coefficients'!M277</f>
        <v>22.049077258267864</v>
      </c>
      <c r="N87" s="194">
        <f>'Pseudo-load coefficients'!N277</f>
        <v>16.234942549151263</v>
      </c>
      <c r="O87" s="194">
        <f>'Pseudo-load coefficients'!O277</f>
        <v>16.05485045540258</v>
      </c>
      <c r="P87" s="194">
        <f>'Pseudo-load coefficients'!P277</f>
        <v>14.700010659671024</v>
      </c>
      <c r="Q87" s="194">
        <f>'Pseudo-load coefficients'!Q277</f>
        <v>54.923589878690656</v>
      </c>
      <c r="R87" s="194">
        <f>'Pseudo-load coefficients'!R277</f>
        <v>14.46827021842658</v>
      </c>
      <c r="S87" s="194">
        <f>'Pseudo-load coefficients'!S277</f>
        <v>14.46827021842658</v>
      </c>
      <c r="T87" s="194">
        <f>'Pseudo-load coefficients'!T277</f>
        <v>14.46827021842658</v>
      </c>
      <c r="U87" s="194">
        <f>'Pseudo-load coefficients'!U277</f>
        <v>14.46827021842658</v>
      </c>
      <c r="V87" s="194">
        <f>'Pseudo-load coefficients'!V277</f>
        <v>14.46827021842658</v>
      </c>
      <c r="W87" s="194">
        <f>'Pseudo-load coefficients'!W277</f>
        <v>14.46827021842658</v>
      </c>
      <c r="X87" s="194">
        <f>'Pseudo-load coefficients'!X277</f>
        <v>14.46827021842658</v>
      </c>
      <c r="Y87" s="194">
        <f>'Pseudo-load coefficients'!Y277</f>
        <v>14.46827021842658</v>
      </c>
    </row>
    <row r="88" spans="5:25" x14ac:dyDescent="0.3">
      <c r="E88" s="32"/>
      <c r="F88" s="191" t="s">
        <v>197</v>
      </c>
      <c r="G88" s="28" t="s">
        <v>283</v>
      </c>
      <c r="J88" s="194">
        <f>'Pseudo-load coefficients'!J278</f>
        <v>17.377662573562574</v>
      </c>
      <c r="K88" s="194">
        <f>'Pseudo-load coefficients'!K278</f>
        <v>17.377662573562574</v>
      </c>
      <c r="L88" s="194">
        <f>'Pseudo-load coefficients'!L278</f>
        <v>15.74804642878923</v>
      </c>
      <c r="M88" s="194">
        <f>'Pseudo-load coefficients'!M278</f>
        <v>15.74804642878923</v>
      </c>
      <c r="N88" s="194">
        <f>'Pseudo-load coefficients'!N278</f>
        <v>11.595434404715977</v>
      </c>
      <c r="O88" s="194">
        <f>'Pseudo-load coefficients'!O278</f>
        <v>11.466807767846236</v>
      </c>
      <c r="P88" s="194">
        <f>'Pseudo-load coefficients'!P278</f>
        <v>10.499144597327327</v>
      </c>
      <c r="Q88" s="194">
        <f>'Pseudo-load coefficients'!Q278</f>
        <v>34.134714042368934</v>
      </c>
      <c r="R88" s="194">
        <f>'Pseudo-load coefficients'!R278</f>
        <v>10.333629315875939</v>
      </c>
      <c r="S88" s="194">
        <f>'Pseudo-load coefficients'!S278</f>
        <v>10.333629315875939</v>
      </c>
      <c r="T88" s="194">
        <f>'Pseudo-load coefficients'!T278</f>
        <v>10.333629315875939</v>
      </c>
      <c r="U88" s="194">
        <f>'Pseudo-load coefficients'!U278</f>
        <v>10.333629315875939</v>
      </c>
      <c r="V88" s="194">
        <f>'Pseudo-load coefficients'!V278</f>
        <v>10.333629315875939</v>
      </c>
      <c r="W88" s="194">
        <f>'Pseudo-load coefficients'!W278</f>
        <v>10.333629315875939</v>
      </c>
      <c r="X88" s="194">
        <f>'Pseudo-load coefficients'!X278</f>
        <v>10.333629315875939</v>
      </c>
      <c r="Y88" s="194">
        <f>'Pseudo-load coefficients'!Y278</f>
        <v>10.333629315875939</v>
      </c>
    </row>
    <row r="89" spans="5:25" x14ac:dyDescent="0.3">
      <c r="E89" s="32"/>
      <c r="F89" s="191" t="s">
        <v>198</v>
      </c>
      <c r="G89" s="28" t="s">
        <v>283</v>
      </c>
      <c r="J89" s="194">
        <f>'Pseudo-load coefficients'!J279</f>
        <v>17.377662573562574</v>
      </c>
      <c r="K89" s="194">
        <f>'Pseudo-load coefficients'!K279</f>
        <v>17.377662573562574</v>
      </c>
      <c r="L89" s="194">
        <f>'Pseudo-load coefficients'!L279</f>
        <v>15.74804642878923</v>
      </c>
      <c r="M89" s="194">
        <f>'Pseudo-load coefficients'!M279</f>
        <v>15.74804642878923</v>
      </c>
      <c r="N89" s="194">
        <f>'Pseudo-load coefficients'!N279</f>
        <v>11.595434404715977</v>
      </c>
      <c r="O89" s="194">
        <f>'Pseudo-load coefficients'!O279</f>
        <v>11.466807767846236</v>
      </c>
      <c r="P89" s="194">
        <f>'Pseudo-load coefficients'!P279</f>
        <v>10.499144597327327</v>
      </c>
      <c r="Q89" s="194">
        <f>'Pseudo-load coefficients'!Q279</f>
        <v>34.134714042368934</v>
      </c>
      <c r="R89" s="194">
        <f>'Pseudo-load coefficients'!R279</f>
        <v>10.333629315875939</v>
      </c>
      <c r="S89" s="194">
        <f>'Pseudo-load coefficients'!S279</f>
        <v>10.333629315875939</v>
      </c>
      <c r="T89" s="194">
        <f>'Pseudo-load coefficients'!T279</f>
        <v>10.333629315875939</v>
      </c>
      <c r="U89" s="194">
        <f>'Pseudo-load coefficients'!U279</f>
        <v>10.333629315875939</v>
      </c>
      <c r="V89" s="194">
        <f>'Pseudo-load coefficients'!V279</f>
        <v>10.333629315875939</v>
      </c>
      <c r="W89" s="194">
        <f>'Pseudo-load coefficients'!W279</f>
        <v>10.333629315875939</v>
      </c>
      <c r="X89" s="194">
        <f>'Pseudo-load coefficients'!X279</f>
        <v>10.333629315875939</v>
      </c>
      <c r="Y89" s="194">
        <f>'Pseudo-load coefficients'!Y279</f>
        <v>10.333629315875939</v>
      </c>
    </row>
    <row r="90" spans="5:25" x14ac:dyDescent="0.3">
      <c r="E90" s="32"/>
      <c r="F90" s="192" t="s">
        <v>199</v>
      </c>
      <c r="G90" s="67" t="s">
        <v>283</v>
      </c>
      <c r="H90" s="37"/>
      <c r="I90" s="37"/>
      <c r="J90" s="195">
        <f>'Pseudo-load coefficients'!J280</f>
        <v>17.377662573562574</v>
      </c>
      <c r="K90" s="195">
        <f>'Pseudo-load coefficients'!K280</f>
        <v>17.377662573562574</v>
      </c>
      <c r="L90" s="195">
        <f>'Pseudo-load coefficients'!L280</f>
        <v>15.74804642878923</v>
      </c>
      <c r="M90" s="195">
        <f>'Pseudo-load coefficients'!M280</f>
        <v>15.74804642878923</v>
      </c>
      <c r="N90" s="195">
        <f>'Pseudo-load coefficients'!N280</f>
        <v>11.595434404715977</v>
      </c>
      <c r="O90" s="195">
        <f>'Pseudo-load coefficients'!O280</f>
        <v>11.466807767846236</v>
      </c>
      <c r="P90" s="195">
        <f>'Pseudo-load coefficients'!P280</f>
        <v>10.499144597327327</v>
      </c>
      <c r="Q90" s="195">
        <f>'Pseudo-load coefficients'!Q280</f>
        <v>34.134714042368934</v>
      </c>
      <c r="R90" s="195">
        <f>'Pseudo-load coefficients'!R280</f>
        <v>10.333629315875939</v>
      </c>
      <c r="S90" s="195">
        <f>'Pseudo-load coefficients'!S280</f>
        <v>10.333629315875939</v>
      </c>
      <c r="T90" s="195">
        <f>'Pseudo-load coefficients'!T280</f>
        <v>10.333629315875939</v>
      </c>
      <c r="U90" s="195">
        <f>'Pseudo-load coefficients'!U280</f>
        <v>10.333629315875939</v>
      </c>
      <c r="V90" s="195">
        <f>'Pseudo-load coefficients'!V280</f>
        <v>10.333629315875939</v>
      </c>
      <c r="W90" s="195">
        <f>'Pseudo-load coefficients'!W280</f>
        <v>10.333629315875939</v>
      </c>
      <c r="X90" s="195">
        <f>'Pseudo-load coefficients'!X280</f>
        <v>10.333629315875939</v>
      </c>
      <c r="Y90" s="195">
        <f>'Pseudo-load coefficients'!Y280</f>
        <v>10.333629315875939</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0.55741103557975957</v>
      </c>
      <c r="K93" s="433">
        <f>'Pseudo-load coefficients'!K283</f>
        <v>0.55741103557975957</v>
      </c>
      <c r="L93" s="433">
        <f>'Pseudo-load coefficients'!L283</f>
        <v>0.50513898696503134</v>
      </c>
      <c r="M93" s="433">
        <f>'Pseudo-load coefficients'!M283</f>
        <v>0.50513898696503134</v>
      </c>
      <c r="N93" s="433">
        <f>'Pseudo-load coefficients'!N283</f>
        <v>0.37193857759460719</v>
      </c>
      <c r="O93" s="433">
        <f>'Pseudo-load coefficients'!O283</f>
        <v>0.36781271161250545</v>
      </c>
      <c r="P93" s="433">
        <f>'Pseudo-load coefficients'!P283</f>
        <v>0.33677366204596992</v>
      </c>
      <c r="Q93" s="433">
        <f>'Pseudo-load coefficients'!Q283</f>
        <v>1.0245077640769706</v>
      </c>
      <c r="R93" s="433">
        <f>'Pseudo-load coefficients'!R283</f>
        <v>0.33146454500865025</v>
      </c>
      <c r="S93" s="433">
        <f>'Pseudo-load coefficients'!S283</f>
        <v>0.33146454500865025</v>
      </c>
      <c r="T93" s="433">
        <f>'Pseudo-load coefficients'!T283</f>
        <v>0.33146454500865025</v>
      </c>
      <c r="U93" s="433">
        <f>'Pseudo-load coefficients'!U283</f>
        <v>0.33146454500865025</v>
      </c>
      <c r="V93" s="433">
        <f>'Pseudo-load coefficients'!V283</f>
        <v>0.33146454500865025</v>
      </c>
      <c r="W93" s="433">
        <f>'Pseudo-load coefficients'!W283</f>
        <v>0.33146454500865025</v>
      </c>
      <c r="X93" s="433">
        <f>'Pseudo-load coefficients'!X283</f>
        <v>0.33146454500865025</v>
      </c>
      <c r="Y93" s="433">
        <f>'Pseudo-load coefficients'!Y283</f>
        <v>0.33146454500865025</v>
      </c>
    </row>
    <row r="94" spans="5:25" x14ac:dyDescent="0.3">
      <c r="E94" s="32"/>
      <c r="F94" s="191" t="s">
        <v>191</v>
      </c>
      <c r="G94" s="28" t="s">
        <v>283</v>
      </c>
      <c r="J94" s="194">
        <f>'Pseudo-load coefficients'!J283</f>
        <v>0.55741103557975957</v>
      </c>
      <c r="K94" s="194">
        <f>'Pseudo-load coefficients'!K283</f>
        <v>0.55741103557975957</v>
      </c>
      <c r="L94" s="194">
        <f>'Pseudo-load coefficients'!L283</f>
        <v>0.50513898696503134</v>
      </c>
      <c r="M94" s="194">
        <f>'Pseudo-load coefficients'!M283</f>
        <v>0.50513898696503134</v>
      </c>
      <c r="N94" s="194">
        <f>'Pseudo-load coefficients'!N283</f>
        <v>0.37193857759460719</v>
      </c>
      <c r="O94" s="194">
        <f>'Pseudo-load coefficients'!O283</f>
        <v>0.36781271161250545</v>
      </c>
      <c r="P94" s="194">
        <f>'Pseudo-load coefficients'!P283</f>
        <v>0.33677366204596992</v>
      </c>
      <c r="Q94" s="194">
        <f>'Pseudo-load coefficients'!Q283</f>
        <v>1.0245077640769706</v>
      </c>
      <c r="R94" s="194">
        <f>'Pseudo-load coefficients'!R283</f>
        <v>0.33146454500865025</v>
      </c>
      <c r="S94" s="194">
        <f>'Pseudo-load coefficients'!S283</f>
        <v>0.33146454500865025</v>
      </c>
      <c r="T94" s="194">
        <f>'Pseudo-load coefficients'!T283</f>
        <v>0.33146454500865025</v>
      </c>
      <c r="U94" s="194">
        <f>'Pseudo-load coefficients'!U283</f>
        <v>0.33146454500865025</v>
      </c>
      <c r="V94" s="194">
        <f>'Pseudo-load coefficients'!V283</f>
        <v>0.33146454500865025</v>
      </c>
      <c r="W94" s="194">
        <f>'Pseudo-load coefficients'!W283</f>
        <v>0.33146454500865025</v>
      </c>
      <c r="X94" s="194">
        <f>'Pseudo-load coefficients'!X283</f>
        <v>0.33146454500865025</v>
      </c>
      <c r="Y94" s="194">
        <f>'Pseudo-load coefficients'!Y283</f>
        <v>0.33146454500865025</v>
      </c>
    </row>
    <row r="95" spans="5:25" x14ac:dyDescent="0.3">
      <c r="E95" s="32"/>
      <c r="F95" s="191" t="s">
        <v>192</v>
      </c>
      <c r="G95" s="28" t="s">
        <v>283</v>
      </c>
      <c r="J95" s="194">
        <f>'Pseudo-load coefficients'!J284</f>
        <v>0.51718214809225938</v>
      </c>
      <c r="K95" s="194">
        <f>'Pseudo-load coefficients'!K284</f>
        <v>0.51718214809225938</v>
      </c>
      <c r="L95" s="194">
        <f>'Pseudo-load coefficients'!L284</f>
        <v>0.46868262321358506</v>
      </c>
      <c r="M95" s="194">
        <f>'Pseudo-load coefficients'!M284</f>
        <v>0.46868262321358506</v>
      </c>
      <c r="N95" s="194">
        <f>'Pseudo-load coefficients'!N284</f>
        <v>0.34509541476638705</v>
      </c>
      <c r="O95" s="194">
        <f>'Pseudo-load coefficients'!O284</f>
        <v>0.34126731647776098</v>
      </c>
      <c r="P95" s="194">
        <f>'Pseudo-load coefficients'!P284</f>
        <v>0.31246838480094818</v>
      </c>
      <c r="Q95" s="194">
        <f>'Pseudo-load coefficients'!Q284</f>
        <v>0.65420727178370852</v>
      </c>
      <c r="R95" s="194">
        <f>'Pseudo-load coefficients'!R284</f>
        <v>0.30754243181729701</v>
      </c>
      <c r="S95" s="194">
        <f>'Pseudo-load coefficients'!S284</f>
        <v>0.30754243181729701</v>
      </c>
      <c r="T95" s="194">
        <f>'Pseudo-load coefficients'!T284</f>
        <v>0.30754243181729701</v>
      </c>
      <c r="U95" s="194">
        <f>'Pseudo-load coefficients'!U284</f>
        <v>0.30754243181729701</v>
      </c>
      <c r="V95" s="194">
        <f>'Pseudo-load coefficients'!V284</f>
        <v>0.30754243181729701</v>
      </c>
      <c r="W95" s="194">
        <f>'Pseudo-load coefficients'!W284</f>
        <v>0.30754243181729701</v>
      </c>
      <c r="X95" s="194">
        <f>'Pseudo-load coefficients'!X284</f>
        <v>0.30754243181729701</v>
      </c>
      <c r="Y95" s="194">
        <f>'Pseudo-load coefficients'!Y284</f>
        <v>0.30754243181729701</v>
      </c>
    </row>
    <row r="96" spans="5:25" x14ac:dyDescent="0.3">
      <c r="E96" s="32"/>
      <c r="F96" s="191" t="s">
        <v>193</v>
      </c>
      <c r="G96" s="28" t="s">
        <v>283</v>
      </c>
      <c r="J96" s="194">
        <f>'Pseudo-load coefficients'!J285</f>
        <v>0.51718214809225938</v>
      </c>
      <c r="K96" s="194">
        <f>'Pseudo-load coefficients'!K285</f>
        <v>0.51718214809225938</v>
      </c>
      <c r="L96" s="194">
        <f>'Pseudo-load coefficients'!L285</f>
        <v>0.46868262321358506</v>
      </c>
      <c r="M96" s="194">
        <f>'Pseudo-load coefficients'!M285</f>
        <v>0.46868262321358506</v>
      </c>
      <c r="N96" s="194">
        <f>'Pseudo-load coefficients'!N285</f>
        <v>0.34509541476638705</v>
      </c>
      <c r="O96" s="194">
        <f>'Pseudo-load coefficients'!O285</f>
        <v>0.34126731647776098</v>
      </c>
      <c r="P96" s="194">
        <f>'Pseudo-load coefficients'!P285</f>
        <v>0.31246838480094818</v>
      </c>
      <c r="Q96" s="194">
        <f>'Pseudo-load coefficients'!Q285</f>
        <v>0.65420727178370852</v>
      </c>
      <c r="R96" s="194">
        <f>'Pseudo-load coefficients'!R285</f>
        <v>0.30754243181729701</v>
      </c>
      <c r="S96" s="194">
        <f>'Pseudo-load coefficients'!S285</f>
        <v>0.30754243181729701</v>
      </c>
      <c r="T96" s="194">
        <f>'Pseudo-load coefficients'!T285</f>
        <v>0.30754243181729701</v>
      </c>
      <c r="U96" s="194">
        <f>'Pseudo-load coefficients'!U285</f>
        <v>0.30754243181729701</v>
      </c>
      <c r="V96" s="194">
        <f>'Pseudo-load coefficients'!V285</f>
        <v>0.30754243181729701</v>
      </c>
      <c r="W96" s="194">
        <f>'Pseudo-load coefficients'!W285</f>
        <v>0.30754243181729701</v>
      </c>
      <c r="X96" s="194">
        <f>'Pseudo-load coefficients'!X285</f>
        <v>0.30754243181729701</v>
      </c>
      <c r="Y96" s="194">
        <f>'Pseudo-load coefficients'!Y285</f>
        <v>0.30754243181729701</v>
      </c>
    </row>
    <row r="97" spans="3:25" x14ac:dyDescent="0.3">
      <c r="E97" s="32"/>
      <c r="F97" s="191" t="s">
        <v>194</v>
      </c>
      <c r="G97" s="28" t="s">
        <v>283</v>
      </c>
      <c r="J97" s="194">
        <f>'Pseudo-load coefficients'!J286</f>
        <v>1.4470085088521996</v>
      </c>
      <c r="K97" s="194">
        <f>'Pseudo-load coefficients'!K286</f>
        <v>1.4470085088521996</v>
      </c>
      <c r="L97" s="194">
        <f>'Pseudo-load coefficients'!L286</f>
        <v>1.3113131345365889</v>
      </c>
      <c r="M97" s="194">
        <f>'Pseudo-load coefficients'!M286</f>
        <v>1.3113131345365889</v>
      </c>
      <c r="N97" s="194">
        <f>'Pseudo-load coefficients'!N286</f>
        <v>0.96553216961340604</v>
      </c>
      <c r="O97" s="194">
        <f>'Pseudo-load coefficients'!O286</f>
        <v>0.95482164757238552</v>
      </c>
      <c r="P97" s="194">
        <f>'Pseudo-load coefficients'!P286</f>
        <v>0.87424597546939675</v>
      </c>
      <c r="Q97" s="194">
        <f>'Pseudo-load coefficients'!Q286</f>
        <v>1.3988458803739743</v>
      </c>
      <c r="R97" s="194">
        <f>'Pseudo-load coefficients'!R286</f>
        <v>0.86046379851715293</v>
      </c>
      <c r="S97" s="194">
        <f>'Pseudo-load coefficients'!S286</f>
        <v>0.86046379851715293</v>
      </c>
      <c r="T97" s="194">
        <f>'Pseudo-load coefficients'!T286</f>
        <v>0.86046379851715293</v>
      </c>
      <c r="U97" s="194">
        <f>'Pseudo-load coefficients'!U286</f>
        <v>0.86046379851715293</v>
      </c>
      <c r="V97" s="194">
        <f>'Pseudo-load coefficients'!V286</f>
        <v>0.86046379851715293</v>
      </c>
      <c r="W97" s="194">
        <f>'Pseudo-load coefficients'!W286</f>
        <v>0.86046379851715293</v>
      </c>
      <c r="X97" s="194">
        <f>'Pseudo-load coefficients'!X286</f>
        <v>0.86046379851715293</v>
      </c>
      <c r="Y97" s="194">
        <f>'Pseudo-load coefficients'!Y286</f>
        <v>0.86046379851715293</v>
      </c>
    </row>
    <row r="98" spans="3:25" x14ac:dyDescent="0.3">
      <c r="E98" s="32"/>
      <c r="F98" s="191" t="s">
        <v>195</v>
      </c>
      <c r="G98" s="28" t="s">
        <v>283</v>
      </c>
      <c r="J98" s="194">
        <f>'Pseudo-load coefficients'!J287</f>
        <v>1.4470085088521996</v>
      </c>
      <c r="K98" s="194">
        <f>'Pseudo-load coefficients'!K287</f>
        <v>1.4470085088521996</v>
      </c>
      <c r="L98" s="194">
        <f>'Pseudo-load coefficients'!L287</f>
        <v>1.3113131345365889</v>
      </c>
      <c r="M98" s="194">
        <f>'Pseudo-load coefficients'!M287</f>
        <v>1.3113131345365889</v>
      </c>
      <c r="N98" s="194">
        <f>'Pseudo-load coefficients'!N287</f>
        <v>0.96553216961340604</v>
      </c>
      <c r="O98" s="194">
        <f>'Pseudo-load coefficients'!O287</f>
        <v>0.95482164757238552</v>
      </c>
      <c r="P98" s="194">
        <f>'Pseudo-load coefficients'!P287</f>
        <v>0.87424597546939675</v>
      </c>
      <c r="Q98" s="194">
        <f>'Pseudo-load coefficients'!Q287</f>
        <v>1.3988458803739743</v>
      </c>
      <c r="R98" s="194">
        <f>'Pseudo-load coefficients'!R287</f>
        <v>0.86046379851715293</v>
      </c>
      <c r="S98" s="194">
        <f>'Pseudo-load coefficients'!S287</f>
        <v>0.86046379851715293</v>
      </c>
      <c r="T98" s="194">
        <f>'Pseudo-load coefficients'!T287</f>
        <v>0.86046379851715293</v>
      </c>
      <c r="U98" s="194">
        <f>'Pseudo-load coefficients'!U287</f>
        <v>0.86046379851715293</v>
      </c>
      <c r="V98" s="194">
        <f>'Pseudo-load coefficients'!V287</f>
        <v>0.86046379851715293</v>
      </c>
      <c r="W98" s="194">
        <f>'Pseudo-load coefficients'!W287</f>
        <v>0.86046379851715293</v>
      </c>
      <c r="X98" s="194">
        <f>'Pseudo-load coefficients'!X287</f>
        <v>0.86046379851715293</v>
      </c>
      <c r="Y98" s="194">
        <f>'Pseudo-load coefficients'!Y287</f>
        <v>0.86046379851715293</v>
      </c>
    </row>
    <row r="99" spans="3:25" x14ac:dyDescent="0.3">
      <c r="E99" s="32"/>
      <c r="F99" s="191" t="s">
        <v>196</v>
      </c>
      <c r="G99" s="28" t="s">
        <v>283</v>
      </c>
      <c r="J99" s="194">
        <f>'Pseudo-load coefficients'!J288</f>
        <v>0.51718214809225938</v>
      </c>
      <c r="K99" s="194">
        <f>'Pseudo-load coefficients'!K288</f>
        <v>0.51718214809225938</v>
      </c>
      <c r="L99" s="194">
        <f>'Pseudo-load coefficients'!L288</f>
        <v>0.46868262321358506</v>
      </c>
      <c r="M99" s="194">
        <f>'Pseudo-load coefficients'!M288</f>
        <v>0.46868262321358506</v>
      </c>
      <c r="N99" s="194">
        <f>'Pseudo-load coefficients'!N288</f>
        <v>0.34509541476638705</v>
      </c>
      <c r="O99" s="194">
        <f>'Pseudo-load coefficients'!O288</f>
        <v>0.34126731647776098</v>
      </c>
      <c r="P99" s="194">
        <f>'Pseudo-load coefficients'!P288</f>
        <v>0.31246838480094818</v>
      </c>
      <c r="Q99" s="194">
        <f>'Pseudo-load coefficients'!Q288</f>
        <v>0.65420727178370852</v>
      </c>
      <c r="R99" s="194">
        <f>'Pseudo-load coefficients'!R288</f>
        <v>0.30754243181729701</v>
      </c>
      <c r="S99" s="194">
        <f>'Pseudo-load coefficients'!S288</f>
        <v>0.30754243181729701</v>
      </c>
      <c r="T99" s="194">
        <f>'Pseudo-load coefficients'!T288</f>
        <v>0.30754243181729701</v>
      </c>
      <c r="U99" s="194">
        <f>'Pseudo-load coefficients'!U288</f>
        <v>0.30754243181729701</v>
      </c>
      <c r="V99" s="194">
        <f>'Pseudo-load coefficients'!V288</f>
        <v>0.30754243181729701</v>
      </c>
      <c r="W99" s="194">
        <f>'Pseudo-load coefficients'!W288</f>
        <v>0.30754243181729701</v>
      </c>
      <c r="X99" s="194">
        <f>'Pseudo-load coefficients'!X288</f>
        <v>0.30754243181729701</v>
      </c>
      <c r="Y99" s="194">
        <f>'Pseudo-load coefficients'!Y288</f>
        <v>0.30754243181729701</v>
      </c>
    </row>
    <row r="100" spans="3:25" x14ac:dyDescent="0.3">
      <c r="E100" s="32"/>
      <c r="F100" s="191" t="s">
        <v>197</v>
      </c>
      <c r="G100" s="28" t="s">
        <v>283</v>
      </c>
      <c r="J100" s="194">
        <f>'Pseudo-load coefficients'!J289</f>
        <v>1.4470085088521996</v>
      </c>
      <c r="K100" s="194">
        <f>'Pseudo-load coefficients'!K289</f>
        <v>1.4470085088521996</v>
      </c>
      <c r="L100" s="194">
        <f>'Pseudo-load coefficients'!L289</f>
        <v>1.3113131345365889</v>
      </c>
      <c r="M100" s="194">
        <f>'Pseudo-load coefficients'!M289</f>
        <v>1.3113131345365889</v>
      </c>
      <c r="N100" s="194">
        <f>'Pseudo-load coefficients'!N289</f>
        <v>0.96553216961340604</v>
      </c>
      <c r="O100" s="194">
        <f>'Pseudo-load coefficients'!O289</f>
        <v>0.95482164757238552</v>
      </c>
      <c r="P100" s="194">
        <f>'Pseudo-load coefficients'!P289</f>
        <v>0.87424597546939675</v>
      </c>
      <c r="Q100" s="194">
        <f>'Pseudo-load coefficients'!Q289</f>
        <v>1.3988458803739743</v>
      </c>
      <c r="R100" s="194">
        <f>'Pseudo-load coefficients'!R289</f>
        <v>0.86046379851715293</v>
      </c>
      <c r="S100" s="194">
        <f>'Pseudo-load coefficients'!S289</f>
        <v>0.86046379851715293</v>
      </c>
      <c r="T100" s="194">
        <f>'Pseudo-load coefficients'!T289</f>
        <v>0.86046379851715293</v>
      </c>
      <c r="U100" s="194">
        <f>'Pseudo-load coefficients'!U289</f>
        <v>0.86046379851715293</v>
      </c>
      <c r="V100" s="194">
        <f>'Pseudo-load coefficients'!V289</f>
        <v>0.86046379851715293</v>
      </c>
      <c r="W100" s="194">
        <f>'Pseudo-load coefficients'!W289</f>
        <v>0.86046379851715293</v>
      </c>
      <c r="X100" s="194">
        <f>'Pseudo-load coefficients'!X289</f>
        <v>0.86046379851715293</v>
      </c>
      <c r="Y100" s="194">
        <f>'Pseudo-load coefficients'!Y289</f>
        <v>0.86046379851715293</v>
      </c>
    </row>
    <row r="101" spans="3:25" x14ac:dyDescent="0.3">
      <c r="E101" s="32"/>
      <c r="F101" s="191" t="s">
        <v>198</v>
      </c>
      <c r="G101" s="28" t="s">
        <v>283</v>
      </c>
      <c r="J101" s="194">
        <f>'Pseudo-load coefficients'!J290</f>
        <v>1.4470085088521996</v>
      </c>
      <c r="K101" s="194">
        <f>'Pseudo-load coefficients'!K290</f>
        <v>1.4470085088521996</v>
      </c>
      <c r="L101" s="194">
        <f>'Pseudo-load coefficients'!L290</f>
        <v>1.3113131345365889</v>
      </c>
      <c r="M101" s="194">
        <f>'Pseudo-load coefficients'!M290</f>
        <v>1.3113131345365889</v>
      </c>
      <c r="N101" s="194">
        <f>'Pseudo-load coefficients'!N290</f>
        <v>0.96553216961340604</v>
      </c>
      <c r="O101" s="194">
        <f>'Pseudo-load coefficients'!O290</f>
        <v>0.95482164757238552</v>
      </c>
      <c r="P101" s="194">
        <f>'Pseudo-load coefficients'!P290</f>
        <v>0.87424597546939675</v>
      </c>
      <c r="Q101" s="194">
        <f>'Pseudo-load coefficients'!Q290</f>
        <v>1.3988458803739743</v>
      </c>
      <c r="R101" s="194">
        <f>'Pseudo-load coefficients'!R290</f>
        <v>0.86046379851715293</v>
      </c>
      <c r="S101" s="194">
        <f>'Pseudo-load coefficients'!S290</f>
        <v>0.86046379851715293</v>
      </c>
      <c r="T101" s="194">
        <f>'Pseudo-load coefficients'!T290</f>
        <v>0.86046379851715293</v>
      </c>
      <c r="U101" s="194">
        <f>'Pseudo-load coefficients'!U290</f>
        <v>0.86046379851715293</v>
      </c>
      <c r="V101" s="194">
        <f>'Pseudo-load coefficients'!V290</f>
        <v>0.86046379851715293</v>
      </c>
      <c r="W101" s="194">
        <f>'Pseudo-load coefficients'!W290</f>
        <v>0.86046379851715293</v>
      </c>
      <c r="X101" s="194">
        <f>'Pseudo-load coefficients'!X290</f>
        <v>0.86046379851715293</v>
      </c>
      <c r="Y101" s="194">
        <f>'Pseudo-load coefficients'!Y290</f>
        <v>0.86046379851715293</v>
      </c>
    </row>
    <row r="102" spans="3:25" x14ac:dyDescent="0.3">
      <c r="E102" s="32"/>
      <c r="F102" s="192" t="s">
        <v>199</v>
      </c>
      <c r="G102" s="67" t="s">
        <v>283</v>
      </c>
      <c r="H102" s="37"/>
      <c r="I102" s="37"/>
      <c r="J102" s="195">
        <f>'Pseudo-load coefficients'!J291</f>
        <v>1.4470085088521996</v>
      </c>
      <c r="K102" s="195">
        <f>'Pseudo-load coefficients'!K291</f>
        <v>1.4470085088521996</v>
      </c>
      <c r="L102" s="195">
        <f>'Pseudo-load coefficients'!L291</f>
        <v>1.3113131345365889</v>
      </c>
      <c r="M102" s="195">
        <f>'Pseudo-load coefficients'!M291</f>
        <v>1.3113131345365889</v>
      </c>
      <c r="N102" s="195">
        <f>'Pseudo-load coefficients'!N291</f>
        <v>0.96553216961340604</v>
      </c>
      <c r="O102" s="195">
        <f>'Pseudo-load coefficients'!O291</f>
        <v>0.95482164757238552</v>
      </c>
      <c r="P102" s="195">
        <f>'Pseudo-load coefficients'!P291</f>
        <v>0.87424597546939675</v>
      </c>
      <c r="Q102" s="195">
        <f>'Pseudo-load coefficients'!Q291</f>
        <v>1.3988458803739743</v>
      </c>
      <c r="R102" s="195">
        <f>'Pseudo-load coefficients'!R291</f>
        <v>0.86046379851715293</v>
      </c>
      <c r="S102" s="195">
        <f>'Pseudo-load coefficients'!S291</f>
        <v>0.86046379851715293</v>
      </c>
      <c r="T102" s="195">
        <f>'Pseudo-load coefficients'!T291</f>
        <v>0.86046379851715293</v>
      </c>
      <c r="U102" s="195">
        <f>'Pseudo-load coefficients'!U291</f>
        <v>0.86046379851715293</v>
      </c>
      <c r="V102" s="195">
        <f>'Pseudo-load coefficients'!V291</f>
        <v>0.86046379851715293</v>
      </c>
      <c r="W102" s="195">
        <f>'Pseudo-load coefficients'!W291</f>
        <v>0.86046379851715293</v>
      </c>
      <c r="X102" s="195">
        <f>'Pseudo-load coefficients'!X291</f>
        <v>0.86046379851715293</v>
      </c>
      <c r="Y102" s="195">
        <f>'Pseudo-load coefficients'!Y291</f>
        <v>0.86046379851715293</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192</v>
      </c>
      <c r="G107" s="28" t="s">
        <v>283</v>
      </c>
      <c r="J107" s="194">
        <f>'Pseudo-load coefficients'!J295</f>
        <v>5.2051800034248696E-2</v>
      </c>
      <c r="K107" s="194">
        <f>'Pseudo-load coefficients'!K295</f>
        <v>5.2051800034248696E-2</v>
      </c>
      <c r="L107" s="194">
        <f>'Pseudo-load coefficients'!L295</f>
        <v>4.717056509593353E-2</v>
      </c>
      <c r="M107" s="194">
        <f>'Pseudo-load coefficients'!M295</f>
        <v>4.717056509593353E-2</v>
      </c>
      <c r="N107" s="194">
        <f>'Pseudo-load coefficients'!N295</f>
        <v>3.4732129847126376E-2</v>
      </c>
      <c r="O107" s="194">
        <f>'Pseudo-load coefficients'!O295</f>
        <v>3.4346850874590246E-2</v>
      </c>
      <c r="P107" s="194">
        <f>'Pseudo-load coefficients'!P295</f>
        <v>3.1448382243430072E-2</v>
      </c>
      <c r="Q107" s="194">
        <f>'Pseudo-load coefficients'!Q295</f>
        <v>3.8974767240262574E-2</v>
      </c>
      <c r="R107" s="194">
        <f>'Pseudo-load coefficients'!R295</f>
        <v>3.0952609679297825E-2</v>
      </c>
      <c r="S107" s="194">
        <f>'Pseudo-load coefficients'!S295</f>
        <v>3.0952609679297825E-2</v>
      </c>
      <c r="T107" s="194">
        <f>'Pseudo-load coefficients'!T295</f>
        <v>3.0952609679297825E-2</v>
      </c>
      <c r="U107" s="194">
        <f>'Pseudo-load coefficients'!U295</f>
        <v>3.0952609679297825E-2</v>
      </c>
      <c r="V107" s="194">
        <f>'Pseudo-load coefficients'!V295</f>
        <v>3.0952609679297825E-2</v>
      </c>
      <c r="W107" s="194">
        <f>'Pseudo-load coefficients'!W295</f>
        <v>3.0952609679297825E-2</v>
      </c>
      <c r="X107" s="194">
        <f>'Pseudo-load coefficients'!X295</f>
        <v>3.0952609679297825E-2</v>
      </c>
      <c r="Y107" s="194">
        <f>'Pseudo-load coefficients'!Y295</f>
        <v>3.0952609679297825E-2</v>
      </c>
    </row>
    <row r="108" spans="3:25" x14ac:dyDescent="0.3">
      <c r="C108" s="32"/>
      <c r="E108" s="32"/>
      <c r="F108" s="191" t="s">
        <v>193</v>
      </c>
      <c r="G108" s="28" t="s">
        <v>283</v>
      </c>
      <c r="J108" s="194">
        <f>'Pseudo-load coefficients'!J296</f>
        <v>5.2051800034248696E-2</v>
      </c>
      <c r="K108" s="194">
        <f>'Pseudo-load coefficients'!K296</f>
        <v>5.2051800034248696E-2</v>
      </c>
      <c r="L108" s="194">
        <f>'Pseudo-load coefficients'!L296</f>
        <v>4.717056509593353E-2</v>
      </c>
      <c r="M108" s="194">
        <f>'Pseudo-load coefficients'!M296</f>
        <v>4.717056509593353E-2</v>
      </c>
      <c r="N108" s="194">
        <f>'Pseudo-load coefficients'!N296</f>
        <v>3.4732129847126376E-2</v>
      </c>
      <c r="O108" s="194">
        <f>'Pseudo-load coefficients'!O296</f>
        <v>3.4346850874590246E-2</v>
      </c>
      <c r="P108" s="194">
        <f>'Pseudo-load coefficients'!P296</f>
        <v>3.1448382243430072E-2</v>
      </c>
      <c r="Q108" s="194">
        <f>'Pseudo-load coefficients'!Q296</f>
        <v>3.8974767240262574E-2</v>
      </c>
      <c r="R108" s="194">
        <f>'Pseudo-load coefficients'!R296</f>
        <v>3.0952609679297825E-2</v>
      </c>
      <c r="S108" s="194">
        <f>'Pseudo-load coefficients'!S296</f>
        <v>3.0952609679297825E-2</v>
      </c>
      <c r="T108" s="194">
        <f>'Pseudo-load coefficients'!T296</f>
        <v>3.0952609679297825E-2</v>
      </c>
      <c r="U108" s="194">
        <f>'Pseudo-load coefficients'!U296</f>
        <v>3.0952609679297825E-2</v>
      </c>
      <c r="V108" s="194">
        <f>'Pseudo-load coefficients'!V296</f>
        <v>3.0952609679297825E-2</v>
      </c>
      <c r="W108" s="194">
        <f>'Pseudo-load coefficients'!W296</f>
        <v>3.0952609679297825E-2</v>
      </c>
      <c r="X108" s="194">
        <f>'Pseudo-load coefficients'!X296</f>
        <v>3.0952609679297825E-2</v>
      </c>
      <c r="Y108" s="194">
        <f>'Pseudo-load coefficients'!Y296</f>
        <v>3.0952609679297825E-2</v>
      </c>
    </row>
    <row r="109" spans="3:25" x14ac:dyDescent="0.3">
      <c r="C109" s="32"/>
      <c r="E109" s="32"/>
      <c r="F109" s="191" t="s">
        <v>194</v>
      </c>
      <c r="G109" s="28" t="s">
        <v>283</v>
      </c>
      <c r="J109" s="194">
        <f>'Pseudo-load coefficients'!J297</f>
        <v>0.14115856891178019</v>
      </c>
      <c r="K109" s="194">
        <f>'Pseudo-load coefficients'!K297</f>
        <v>0.14115856891178019</v>
      </c>
      <c r="L109" s="194">
        <f>'Pseudo-load coefficients'!L297</f>
        <v>0.1279212142389084</v>
      </c>
      <c r="M109" s="194">
        <f>'Pseudo-load coefficients'!M297</f>
        <v>0.1279212142389084</v>
      </c>
      <c r="N109" s="194">
        <f>'Pseudo-load coefficients'!N297</f>
        <v>9.4189590777890783E-2</v>
      </c>
      <c r="O109" s="194">
        <f>'Pseudo-load coefficients'!O297</f>
        <v>9.3144757969818498E-2</v>
      </c>
      <c r="P109" s="194">
        <f>'Pseudo-load coefficients'!P297</f>
        <v>8.5284440291254995E-2</v>
      </c>
      <c r="Q109" s="194">
        <f>'Pseudo-load coefficients'!Q297</f>
        <v>0.10569514144919633</v>
      </c>
      <c r="R109" s="194">
        <f>'Pseudo-load coefficients'!R297</f>
        <v>8.3939961414202055E-2</v>
      </c>
      <c r="S109" s="194">
        <f>'Pseudo-load coefficients'!S297</f>
        <v>8.3939961414202055E-2</v>
      </c>
      <c r="T109" s="194">
        <f>'Pseudo-load coefficients'!T297</f>
        <v>8.3939961414202055E-2</v>
      </c>
      <c r="U109" s="194">
        <f>'Pseudo-load coefficients'!U297</f>
        <v>8.3939961414202055E-2</v>
      </c>
      <c r="V109" s="194">
        <f>'Pseudo-load coefficients'!V297</f>
        <v>8.3939961414202055E-2</v>
      </c>
      <c r="W109" s="194">
        <f>'Pseudo-load coefficients'!W297</f>
        <v>8.3939961414202055E-2</v>
      </c>
      <c r="X109" s="194">
        <f>'Pseudo-load coefficients'!X297</f>
        <v>8.3939961414202055E-2</v>
      </c>
      <c r="Y109" s="194">
        <f>'Pseudo-load coefficients'!Y297</f>
        <v>8.3939961414202055E-2</v>
      </c>
    </row>
    <row r="110" spans="3:25" x14ac:dyDescent="0.3">
      <c r="C110" s="32"/>
      <c r="E110" s="32"/>
      <c r="F110" s="191" t="s">
        <v>195</v>
      </c>
      <c r="G110" s="28" t="s">
        <v>283</v>
      </c>
      <c r="J110" s="194">
        <f>'Pseudo-load coefficients'!J298</f>
        <v>0.14115856891178019</v>
      </c>
      <c r="K110" s="194">
        <f>'Pseudo-load coefficients'!K298</f>
        <v>0.14115856891178019</v>
      </c>
      <c r="L110" s="194">
        <f>'Pseudo-load coefficients'!L298</f>
        <v>0.1279212142389084</v>
      </c>
      <c r="M110" s="194">
        <f>'Pseudo-load coefficients'!M298</f>
        <v>0.1279212142389084</v>
      </c>
      <c r="N110" s="194">
        <f>'Pseudo-load coefficients'!N298</f>
        <v>9.4189590777890783E-2</v>
      </c>
      <c r="O110" s="194">
        <f>'Pseudo-load coefficients'!O298</f>
        <v>9.3144757969818498E-2</v>
      </c>
      <c r="P110" s="194">
        <f>'Pseudo-load coefficients'!P298</f>
        <v>8.5284440291254995E-2</v>
      </c>
      <c r="Q110" s="194">
        <f>'Pseudo-load coefficients'!Q298</f>
        <v>0.10569514144919633</v>
      </c>
      <c r="R110" s="194">
        <f>'Pseudo-load coefficients'!R298</f>
        <v>8.3939961414202055E-2</v>
      </c>
      <c r="S110" s="194">
        <f>'Pseudo-load coefficients'!S298</f>
        <v>8.3939961414202055E-2</v>
      </c>
      <c r="T110" s="194">
        <f>'Pseudo-load coefficients'!T298</f>
        <v>8.3939961414202055E-2</v>
      </c>
      <c r="U110" s="194">
        <f>'Pseudo-load coefficients'!U298</f>
        <v>8.3939961414202055E-2</v>
      </c>
      <c r="V110" s="194">
        <f>'Pseudo-load coefficients'!V298</f>
        <v>8.3939961414202055E-2</v>
      </c>
      <c r="W110" s="194">
        <f>'Pseudo-load coefficients'!W298</f>
        <v>8.3939961414202055E-2</v>
      </c>
      <c r="X110" s="194">
        <f>'Pseudo-load coefficients'!X298</f>
        <v>8.3939961414202055E-2</v>
      </c>
      <c r="Y110" s="194">
        <f>'Pseudo-load coefficients'!Y298</f>
        <v>8.3939961414202055E-2</v>
      </c>
    </row>
    <row r="111" spans="3:25" x14ac:dyDescent="0.3">
      <c r="C111" s="32"/>
      <c r="E111" s="32"/>
      <c r="F111" s="191" t="s">
        <v>196</v>
      </c>
      <c r="G111" s="28" t="s">
        <v>283</v>
      </c>
      <c r="J111" s="194">
        <f>'Pseudo-load coefficients'!J299</f>
        <v>5.2051800034248696E-2</v>
      </c>
      <c r="K111" s="194">
        <f>'Pseudo-load coefficients'!K299</f>
        <v>5.2051800034248696E-2</v>
      </c>
      <c r="L111" s="194">
        <f>'Pseudo-load coefficients'!L299</f>
        <v>4.717056509593353E-2</v>
      </c>
      <c r="M111" s="194">
        <f>'Pseudo-load coefficients'!M299</f>
        <v>4.717056509593353E-2</v>
      </c>
      <c r="N111" s="194">
        <f>'Pseudo-load coefficients'!N299</f>
        <v>3.4732129847126376E-2</v>
      </c>
      <c r="O111" s="194">
        <f>'Pseudo-load coefficients'!O299</f>
        <v>3.4346850874590246E-2</v>
      </c>
      <c r="P111" s="194">
        <f>'Pseudo-load coefficients'!P299</f>
        <v>3.1448382243430072E-2</v>
      </c>
      <c r="Q111" s="194">
        <f>'Pseudo-load coefficients'!Q299</f>
        <v>3.8974767240262574E-2</v>
      </c>
      <c r="R111" s="194">
        <f>'Pseudo-load coefficients'!R299</f>
        <v>3.0952609679297825E-2</v>
      </c>
      <c r="S111" s="194">
        <f>'Pseudo-load coefficients'!S299</f>
        <v>3.0952609679297825E-2</v>
      </c>
      <c r="T111" s="194">
        <f>'Pseudo-load coefficients'!T299</f>
        <v>3.0952609679297825E-2</v>
      </c>
      <c r="U111" s="194">
        <f>'Pseudo-load coefficients'!U299</f>
        <v>3.0952609679297825E-2</v>
      </c>
      <c r="V111" s="194">
        <f>'Pseudo-load coefficients'!V299</f>
        <v>3.0952609679297825E-2</v>
      </c>
      <c r="W111" s="194">
        <f>'Pseudo-load coefficients'!W299</f>
        <v>3.0952609679297825E-2</v>
      </c>
      <c r="X111" s="194">
        <f>'Pseudo-load coefficients'!X299</f>
        <v>3.0952609679297825E-2</v>
      </c>
      <c r="Y111" s="194">
        <f>'Pseudo-load coefficients'!Y299</f>
        <v>3.0952609679297825E-2</v>
      </c>
    </row>
    <row r="112" spans="3:25" x14ac:dyDescent="0.3">
      <c r="C112" s="32"/>
      <c r="E112" s="32"/>
      <c r="F112" s="191" t="s">
        <v>197</v>
      </c>
      <c r="G112" s="28" t="s">
        <v>283</v>
      </c>
      <c r="J112" s="194">
        <f>'Pseudo-load coefficients'!J300</f>
        <v>0.14115856891178019</v>
      </c>
      <c r="K112" s="194">
        <f>'Pseudo-load coefficients'!K300</f>
        <v>0.14115856891178019</v>
      </c>
      <c r="L112" s="194">
        <f>'Pseudo-load coefficients'!L300</f>
        <v>0.1279212142389084</v>
      </c>
      <c r="M112" s="194">
        <f>'Pseudo-load coefficients'!M300</f>
        <v>0.1279212142389084</v>
      </c>
      <c r="N112" s="194">
        <f>'Pseudo-load coefficients'!N300</f>
        <v>9.4189590777890783E-2</v>
      </c>
      <c r="O112" s="194">
        <f>'Pseudo-load coefficients'!O300</f>
        <v>9.3144757969818498E-2</v>
      </c>
      <c r="P112" s="194">
        <f>'Pseudo-load coefficients'!P300</f>
        <v>8.5284440291254995E-2</v>
      </c>
      <c r="Q112" s="194">
        <f>'Pseudo-load coefficients'!Q300</f>
        <v>0.10569514144919633</v>
      </c>
      <c r="R112" s="194">
        <f>'Pseudo-load coefficients'!R300</f>
        <v>8.3939961414202055E-2</v>
      </c>
      <c r="S112" s="194">
        <f>'Pseudo-load coefficients'!S300</f>
        <v>8.3939961414202055E-2</v>
      </c>
      <c r="T112" s="194">
        <f>'Pseudo-load coefficients'!T300</f>
        <v>8.3939961414202055E-2</v>
      </c>
      <c r="U112" s="194">
        <f>'Pseudo-load coefficients'!U300</f>
        <v>8.3939961414202055E-2</v>
      </c>
      <c r="V112" s="194">
        <f>'Pseudo-load coefficients'!V300</f>
        <v>8.3939961414202055E-2</v>
      </c>
      <c r="W112" s="194">
        <f>'Pseudo-load coefficients'!W300</f>
        <v>8.3939961414202055E-2</v>
      </c>
      <c r="X112" s="194">
        <f>'Pseudo-load coefficients'!X300</f>
        <v>8.3939961414202055E-2</v>
      </c>
      <c r="Y112" s="194">
        <f>'Pseudo-load coefficients'!Y300</f>
        <v>8.3939961414202055E-2</v>
      </c>
    </row>
    <row r="113" spans="2:27" x14ac:dyDescent="0.3">
      <c r="C113" s="32"/>
      <c r="E113" s="32"/>
      <c r="F113" s="191" t="s">
        <v>198</v>
      </c>
      <c r="G113" s="28" t="s">
        <v>283</v>
      </c>
      <c r="J113" s="194">
        <f>'Pseudo-load coefficients'!J301</f>
        <v>0.14115856891178019</v>
      </c>
      <c r="K113" s="194">
        <f>'Pseudo-load coefficients'!K301</f>
        <v>0.14115856891178019</v>
      </c>
      <c r="L113" s="194">
        <f>'Pseudo-load coefficients'!L301</f>
        <v>0.1279212142389084</v>
      </c>
      <c r="M113" s="194">
        <f>'Pseudo-load coefficients'!M301</f>
        <v>0.1279212142389084</v>
      </c>
      <c r="N113" s="194">
        <f>'Pseudo-load coefficients'!N301</f>
        <v>9.4189590777890783E-2</v>
      </c>
      <c r="O113" s="194">
        <f>'Pseudo-load coefficients'!O301</f>
        <v>9.3144757969818498E-2</v>
      </c>
      <c r="P113" s="194">
        <f>'Pseudo-load coefficients'!P301</f>
        <v>8.5284440291254995E-2</v>
      </c>
      <c r="Q113" s="194">
        <f>'Pseudo-load coefficients'!Q301</f>
        <v>0.10569514144919633</v>
      </c>
      <c r="R113" s="194">
        <f>'Pseudo-load coefficients'!R301</f>
        <v>8.3939961414202055E-2</v>
      </c>
      <c r="S113" s="194">
        <f>'Pseudo-load coefficients'!S301</f>
        <v>8.3939961414202055E-2</v>
      </c>
      <c r="T113" s="194">
        <f>'Pseudo-load coefficients'!T301</f>
        <v>8.3939961414202055E-2</v>
      </c>
      <c r="U113" s="194">
        <f>'Pseudo-load coefficients'!U301</f>
        <v>8.3939961414202055E-2</v>
      </c>
      <c r="V113" s="194">
        <f>'Pseudo-load coefficients'!V301</f>
        <v>8.3939961414202055E-2</v>
      </c>
      <c r="W113" s="194">
        <f>'Pseudo-load coefficients'!W301</f>
        <v>8.3939961414202055E-2</v>
      </c>
      <c r="X113" s="194">
        <f>'Pseudo-load coefficients'!X301</f>
        <v>8.3939961414202055E-2</v>
      </c>
      <c r="Y113" s="194">
        <f>'Pseudo-load coefficients'!Y301</f>
        <v>8.3939961414202055E-2</v>
      </c>
    </row>
    <row r="114" spans="2:27" x14ac:dyDescent="0.3">
      <c r="C114" s="32"/>
      <c r="E114" s="32"/>
      <c r="F114" s="192" t="s">
        <v>199</v>
      </c>
      <c r="G114" s="67" t="s">
        <v>283</v>
      </c>
      <c r="H114" s="37"/>
      <c r="I114" s="37"/>
      <c r="J114" s="195">
        <f>'Pseudo-load coefficients'!J302</f>
        <v>0.14115856891178019</v>
      </c>
      <c r="K114" s="195">
        <f>'Pseudo-load coefficients'!K302</f>
        <v>0.14115856891178019</v>
      </c>
      <c r="L114" s="195">
        <f>'Pseudo-load coefficients'!L302</f>
        <v>0.1279212142389084</v>
      </c>
      <c r="M114" s="195">
        <f>'Pseudo-load coefficients'!M302</f>
        <v>0.1279212142389084</v>
      </c>
      <c r="N114" s="195">
        <f>'Pseudo-load coefficients'!N302</f>
        <v>9.4189590777890783E-2</v>
      </c>
      <c r="O114" s="195">
        <f>'Pseudo-load coefficients'!O302</f>
        <v>9.3144757969818498E-2</v>
      </c>
      <c r="P114" s="195">
        <f>'Pseudo-load coefficients'!P302</f>
        <v>8.5284440291254995E-2</v>
      </c>
      <c r="Q114" s="195">
        <f>'Pseudo-load coefficients'!Q302</f>
        <v>0.10569514144919633</v>
      </c>
      <c r="R114" s="195">
        <f>'Pseudo-load coefficients'!R302</f>
        <v>8.3939961414202055E-2</v>
      </c>
      <c r="S114" s="195">
        <f>'Pseudo-load coefficients'!S302</f>
        <v>8.3939961414202055E-2</v>
      </c>
      <c r="T114" s="195">
        <f>'Pseudo-load coefficients'!T302</f>
        <v>8.3939961414202055E-2</v>
      </c>
      <c r="U114" s="195">
        <f>'Pseudo-load coefficients'!U302</f>
        <v>8.3939961414202055E-2</v>
      </c>
      <c r="V114" s="195">
        <f>'Pseudo-load coefficients'!V302</f>
        <v>8.3939961414202055E-2</v>
      </c>
      <c r="W114" s="195">
        <f>'Pseudo-load coefficients'!W302</f>
        <v>8.3939961414202055E-2</v>
      </c>
      <c r="X114" s="195">
        <f>'Pseudo-load coefficients'!X302</f>
        <v>8.3939961414202055E-2</v>
      </c>
      <c r="Y114" s="195">
        <f>'Pseudo-load coefficients'!Y302</f>
        <v>8.3939961414202055E-2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0.28264951777637393</v>
      </c>
      <c r="K125" s="275">
        <f t="shared" si="2"/>
        <v>0.28264951777637393</v>
      </c>
      <c r="L125" s="275">
        <f t="shared" si="2"/>
        <v>0.21515775836180184</v>
      </c>
      <c r="M125" s="275">
        <f t="shared" si="2"/>
        <v>0.21515775836180184</v>
      </c>
      <c r="N125" s="275">
        <f t="shared" si="2"/>
        <v>0.17643878002857849</v>
      </c>
      <c r="O125" s="275">
        <f t="shared" si="2"/>
        <v>0.15852361997925227</v>
      </c>
      <c r="P125" s="275">
        <f t="shared" si="2"/>
        <v>0.13798413675364629</v>
      </c>
      <c r="Q125" s="275">
        <f t="shared" si="2"/>
        <v>0.26223897938831936</v>
      </c>
      <c r="R125" s="275">
        <f t="shared" si="2"/>
        <v>-0.13397862673305405</v>
      </c>
      <c r="S125" s="275">
        <f t="shared" si="2"/>
        <v>-0.1320844896915877</v>
      </c>
      <c r="T125" s="275">
        <f t="shared" si="2"/>
        <v>-0.13397862673305405</v>
      </c>
      <c r="U125" s="275">
        <f t="shared" si="2"/>
        <v>-0.13397862673305405</v>
      </c>
      <c r="V125" s="275">
        <f t="shared" si="2"/>
        <v>-0.1320844896915877</v>
      </c>
      <c r="W125" s="275">
        <f t="shared" si="2"/>
        <v>-0.1320844896915877</v>
      </c>
      <c r="X125" s="275">
        <f t="shared" si="2"/>
        <v>-0.13044290425565017</v>
      </c>
      <c r="Y125" s="275">
        <f t="shared" si="2"/>
        <v>-0.13044290425565017</v>
      </c>
      <c r="Z125" s="267"/>
      <c r="AA125" s="267"/>
    </row>
    <row r="126" spans="2:27" x14ac:dyDescent="0.3">
      <c r="E126" s="32"/>
      <c r="F126" s="191" t="s">
        <v>193</v>
      </c>
      <c r="G126" t="s">
        <v>269</v>
      </c>
      <c r="H126" s="267"/>
      <c r="I126" s="267"/>
      <c r="J126" s="275">
        <f t="shared" ref="J126:Y126" si="3">hundred * $H21 * J58 / $H46 * J$78 * (1 - J70) / hours_in_year</f>
        <v>4.0081136353228498E-2</v>
      </c>
      <c r="K126" s="275">
        <f t="shared" si="3"/>
        <v>4.0081136353228498E-2</v>
      </c>
      <c r="L126" s="275">
        <f t="shared" si="3"/>
        <v>3.0510462279215004E-2</v>
      </c>
      <c r="M126" s="275">
        <f t="shared" si="3"/>
        <v>3.0510462279215004E-2</v>
      </c>
      <c r="N126" s="275">
        <f t="shared" si="3"/>
        <v>2.5019914613538627E-2</v>
      </c>
      <c r="O126" s="275">
        <f t="shared" si="3"/>
        <v>2.2479453980964442E-2</v>
      </c>
      <c r="P126" s="275">
        <f t="shared" si="3"/>
        <v>6.4570608302956922E-3</v>
      </c>
      <c r="Q126" s="275">
        <f t="shared" si="3"/>
        <v>3.7186818405650524E-2</v>
      </c>
      <c r="R126" s="275">
        <f t="shared" si="3"/>
        <v>-1.899884934795637E-2</v>
      </c>
      <c r="S126" s="275">
        <f t="shared" si="3"/>
        <v>-1.8730251100812785E-2</v>
      </c>
      <c r="T126" s="275">
        <f t="shared" si="3"/>
        <v>-1.899884934795637E-2</v>
      </c>
      <c r="U126" s="275">
        <f t="shared" si="3"/>
        <v>-1.899884934795637E-2</v>
      </c>
      <c r="V126" s="275">
        <f t="shared" si="3"/>
        <v>-1.8730251100812785E-2</v>
      </c>
      <c r="W126" s="275">
        <f t="shared" si="3"/>
        <v>-1.8730251100812785E-2</v>
      </c>
      <c r="X126" s="275">
        <f t="shared" si="3"/>
        <v>-6.1041637645851514E-3</v>
      </c>
      <c r="Y126" s="275">
        <f t="shared" si="3"/>
        <v>-6.1041637645851514E-3</v>
      </c>
      <c r="Z126" s="267"/>
      <c r="AA126" s="267"/>
    </row>
    <row r="127" spans="2:27" x14ac:dyDescent="0.3">
      <c r="E127" s="32"/>
      <c r="F127" s="191" t="s">
        <v>194</v>
      </c>
      <c r="G127" t="s">
        <v>269</v>
      </c>
      <c r="H127" s="267"/>
      <c r="I127" s="267"/>
      <c r="J127" s="275">
        <f t="shared" ref="J127:Y127" si="4">hundred * $H22 * J59 / $H47 * J$78 * (1 - J71) / hours_in_year</f>
        <v>0.10518547390418868</v>
      </c>
      <c r="K127" s="275">
        <f t="shared" si="4"/>
        <v>0.10518547390418868</v>
      </c>
      <c r="L127" s="275">
        <f t="shared" si="4"/>
        <v>8.0069023133287495E-2</v>
      </c>
      <c r="M127" s="275">
        <f t="shared" si="4"/>
        <v>8.0069023133287495E-2</v>
      </c>
      <c r="N127" s="275">
        <f t="shared" si="4"/>
        <v>6.5660103857195479E-2</v>
      </c>
      <c r="O127" s="275">
        <f t="shared" si="4"/>
        <v>5.8993138299700092E-2</v>
      </c>
      <c r="P127" s="275">
        <f t="shared" si="4"/>
        <v>1.6945352982940524E-2</v>
      </c>
      <c r="Q127" s="275">
        <f t="shared" si="4"/>
        <v>9.758987575890643E-2</v>
      </c>
      <c r="R127" s="275">
        <f t="shared" si="4"/>
        <v>-4.9858939993304548E-2</v>
      </c>
      <c r="S127" s="275">
        <f t="shared" si="4"/>
        <v>-4.9154053942503828E-2</v>
      </c>
      <c r="T127" s="275">
        <f t="shared" si="4"/>
        <v>-4.9858939993304548E-2</v>
      </c>
      <c r="U127" s="275">
        <f t="shared" si="4"/>
        <v>-4.9858939993304548E-2</v>
      </c>
      <c r="V127" s="275">
        <f t="shared" si="4"/>
        <v>-4.9154053942503828E-2</v>
      </c>
      <c r="W127" s="275">
        <f t="shared" si="4"/>
        <v>-4.9154053942503828E-2</v>
      </c>
      <c r="X127" s="275">
        <f t="shared" si="4"/>
        <v>-1.601924039049725E-2</v>
      </c>
      <c r="Y127" s="275">
        <f t="shared" si="4"/>
        <v>-1.601924039049725E-2</v>
      </c>
      <c r="Z127" s="267"/>
      <c r="AA127" s="267"/>
    </row>
    <row r="128" spans="2:27" x14ac:dyDescent="0.3">
      <c r="E128" s="32"/>
      <c r="F128" s="191" t="s">
        <v>195</v>
      </c>
      <c r="G128" t="s">
        <v>269</v>
      </c>
      <c r="H128" s="267"/>
      <c r="I128" s="267"/>
      <c r="J128" s="275">
        <f t="shared" ref="J128:Y128" si="5">hundred * $H23 * J60 / $H48 * J$78 * (1 - J72) / hours_in_year</f>
        <v>1.9273155923639377E-2</v>
      </c>
      <c r="K128" s="275">
        <f t="shared" si="5"/>
        <v>1.9273155923639377E-2</v>
      </c>
      <c r="L128" s="275">
        <f t="shared" si="5"/>
        <v>1.4671063505470275E-2</v>
      </c>
      <c r="M128" s="275">
        <f t="shared" si="5"/>
        <v>1.4671063505470275E-2</v>
      </c>
      <c r="N128" s="275">
        <f t="shared" si="5"/>
        <v>1.2030914275813232E-2</v>
      </c>
      <c r="O128" s="275">
        <f t="shared" si="5"/>
        <v>1.0809324811433541E-2</v>
      </c>
      <c r="P128" s="275">
        <f t="shared" si="5"/>
        <v>0</v>
      </c>
      <c r="Q128" s="275">
        <f t="shared" si="5"/>
        <v>1.7881412920031526E-2</v>
      </c>
      <c r="R128" s="275">
        <f t="shared" si="5"/>
        <v>-9.1356637852260652E-3</v>
      </c>
      <c r="S128" s="275">
        <f t="shared" si="5"/>
        <v>-9.0065073697893159E-3</v>
      </c>
      <c r="T128" s="275">
        <f t="shared" si="5"/>
        <v>-9.1356637852260652E-3</v>
      </c>
      <c r="U128" s="275">
        <f t="shared" si="5"/>
        <v>-9.1356637852260652E-3</v>
      </c>
      <c r="V128" s="275">
        <f t="shared" si="5"/>
        <v>-9.0065073697893159E-3</v>
      </c>
      <c r="W128" s="275">
        <f t="shared" si="5"/>
        <v>-9.0065073697893159E-3</v>
      </c>
      <c r="X128" s="275">
        <f t="shared" si="5"/>
        <v>0</v>
      </c>
      <c r="Y128" s="275">
        <f t="shared" si="5"/>
        <v>0</v>
      </c>
      <c r="Z128" s="267"/>
      <c r="AA128" s="267"/>
    </row>
    <row r="129" spans="4:27" x14ac:dyDescent="0.3">
      <c r="E129" s="32"/>
      <c r="F129" s="191" t="s">
        <v>196</v>
      </c>
      <c r="G129" t="s">
        <v>269</v>
      </c>
      <c r="H129" s="267"/>
      <c r="I129" s="267"/>
      <c r="J129" s="275">
        <f t="shared" ref="J129:Y129" si="6">hundred * $H24 * J61 / $H49 * J$78 * (1 - J73) / hours_in_year</f>
        <v>0</v>
      </c>
      <c r="K129" s="275">
        <f t="shared" si="6"/>
        <v>0</v>
      </c>
      <c r="L129" s="275">
        <f t="shared" si="6"/>
        <v>0</v>
      </c>
      <c r="M129" s="275">
        <f t="shared" si="6"/>
        <v>0</v>
      </c>
      <c r="N129" s="275">
        <f t="shared" si="6"/>
        <v>0</v>
      </c>
      <c r="O129" s="275">
        <f t="shared" si="6"/>
        <v>0</v>
      </c>
      <c r="P129" s="275">
        <f t="shared" si="6"/>
        <v>0</v>
      </c>
      <c r="Q129" s="275">
        <f t="shared" si="6"/>
        <v>0</v>
      </c>
      <c r="R129" s="275">
        <f t="shared" si="6"/>
        <v>0</v>
      </c>
      <c r="S129" s="275">
        <f t="shared" si="6"/>
        <v>0</v>
      </c>
      <c r="T129" s="275">
        <f t="shared" si="6"/>
        <v>0</v>
      </c>
      <c r="U129" s="275">
        <f t="shared" si="6"/>
        <v>0</v>
      </c>
      <c r="V129" s="275">
        <f t="shared" si="6"/>
        <v>0</v>
      </c>
      <c r="W129" s="275">
        <f t="shared" si="6"/>
        <v>0</v>
      </c>
      <c r="X129" s="275">
        <f t="shared" si="6"/>
        <v>0</v>
      </c>
      <c r="Y129" s="275">
        <f t="shared" si="6"/>
        <v>0</v>
      </c>
      <c r="Z129" s="267"/>
      <c r="AA129" s="267"/>
    </row>
    <row r="130" spans="4:27" x14ac:dyDescent="0.3">
      <c r="E130" s="32"/>
      <c r="F130" s="191" t="s">
        <v>197</v>
      </c>
      <c r="G130" t="s">
        <v>269</v>
      </c>
      <c r="H130" s="267"/>
      <c r="I130" s="267"/>
      <c r="J130" s="275">
        <f t="shared" ref="J130:Y130" si="7">hundred * $H25 * J62 / $H50 * J$78 * (1 - J74) / hours_in_year</f>
        <v>7.3969147328694265E-2</v>
      </c>
      <c r="K130" s="275">
        <f t="shared" si="7"/>
        <v>7.3969147328694265E-2</v>
      </c>
      <c r="L130" s="275">
        <f t="shared" si="7"/>
        <v>5.6306609161694547E-2</v>
      </c>
      <c r="M130" s="275">
        <f t="shared" si="7"/>
        <v>5.6306609161694547E-2</v>
      </c>
      <c r="N130" s="275">
        <f t="shared" si="7"/>
        <v>4.6173884240463078E-2</v>
      </c>
      <c r="O130" s="275">
        <f t="shared" si="7"/>
        <v>4.1485501527020095E-2</v>
      </c>
      <c r="P130" s="275">
        <f t="shared" si="7"/>
        <v>0</v>
      </c>
      <c r="Q130" s="275">
        <f t="shared" si="7"/>
        <v>6.8627726147574619E-2</v>
      </c>
      <c r="R130" s="275">
        <f t="shared" si="7"/>
        <v>-3.5062096895400366E-2</v>
      </c>
      <c r="S130" s="275">
        <f t="shared" si="7"/>
        <v>-3.4566402782835799E-2</v>
      </c>
      <c r="T130" s="275">
        <f t="shared" si="7"/>
        <v>-3.5062096895400366E-2</v>
      </c>
      <c r="U130" s="275">
        <f t="shared" si="7"/>
        <v>-3.5062096895400366E-2</v>
      </c>
      <c r="V130" s="275">
        <f t="shared" si="7"/>
        <v>-3.4566402782835799E-2</v>
      </c>
      <c r="W130" s="275">
        <f t="shared" si="7"/>
        <v>-3.4566402782835799E-2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8.4314899996021844E-3</v>
      </c>
      <c r="K131" s="275">
        <f t="shared" si="8"/>
        <v>8.4314899996021844E-3</v>
      </c>
      <c r="L131" s="275">
        <f t="shared" si="8"/>
        <v>6.4181977108470839E-3</v>
      </c>
      <c r="M131" s="275">
        <f t="shared" si="8"/>
        <v>6.4181977108470839E-3</v>
      </c>
      <c r="N131" s="275">
        <f t="shared" si="8"/>
        <v>5.2632030687912177E-3</v>
      </c>
      <c r="O131" s="275">
        <f t="shared" si="8"/>
        <v>4.7287903657889253E-3</v>
      </c>
      <c r="P131" s="275">
        <f t="shared" si="8"/>
        <v>0</v>
      </c>
      <c r="Q131" s="275">
        <f t="shared" si="8"/>
        <v>7.8226396762079188E-3</v>
      </c>
      <c r="R131" s="275">
        <f t="shared" si="8"/>
        <v>-3.9966084511558414E-3</v>
      </c>
      <c r="S131" s="275">
        <f t="shared" si="8"/>
        <v>0</v>
      </c>
      <c r="T131" s="275">
        <f t="shared" si="8"/>
        <v>-3.9966084511558414E-3</v>
      </c>
      <c r="U131" s="275">
        <f t="shared" si="8"/>
        <v>-3.9966084511558414E-3</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2.0053402660986583E-2</v>
      </c>
      <c r="K132" s="276">
        <f t="shared" si="9"/>
        <v>2.0053402660986583E-2</v>
      </c>
      <c r="L132" s="276">
        <f t="shared" si="9"/>
        <v>1.5265000973672695E-2</v>
      </c>
      <c r="M132" s="276">
        <f t="shared" si="9"/>
        <v>1.5265000973672695E-2</v>
      </c>
      <c r="N132" s="276">
        <f t="shared" si="9"/>
        <v>1.2517968998360954E-2</v>
      </c>
      <c r="O132" s="276">
        <f t="shared" si="9"/>
        <v>0</v>
      </c>
      <c r="P132" s="276">
        <f t="shared" si="9"/>
        <v>0</v>
      </c>
      <c r="Q132" s="276">
        <f t="shared" si="9"/>
        <v>1.8605316890159224E-2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8.725996201683027E-2</v>
      </c>
      <c r="K135" s="274">
        <f t="shared" si="10"/>
        <v>8.725996201683027E-2</v>
      </c>
      <c r="L135" s="274">
        <f t="shared" si="10"/>
        <v>6.6423809847541537E-2</v>
      </c>
      <c r="M135" s="274">
        <f t="shared" si="10"/>
        <v>6.6423809847541537E-2</v>
      </c>
      <c r="N135" s="274">
        <f t="shared" si="10"/>
        <v>5.4470431666437995E-2</v>
      </c>
      <c r="O135" s="274">
        <f t="shared" si="10"/>
        <v>4.8939637919722785E-2</v>
      </c>
      <c r="P135" s="274">
        <f t="shared" si="10"/>
        <v>4.2598659381313568E-2</v>
      </c>
      <c r="Q135" s="274">
        <f t="shared" si="10"/>
        <v>8.0958791512468029E-2</v>
      </c>
      <c r="R135" s="274">
        <f t="shared" si="10"/>
        <v>-4.1362072618298308E-2</v>
      </c>
      <c r="S135" s="274">
        <f t="shared" si="10"/>
        <v>-4.0777311930951958E-2</v>
      </c>
      <c r="T135" s="274">
        <f t="shared" si="10"/>
        <v>-4.1362072618298308E-2</v>
      </c>
      <c r="U135" s="274">
        <f t="shared" si="10"/>
        <v>-4.1362072618298308E-2</v>
      </c>
      <c r="V135" s="274">
        <f t="shared" si="10"/>
        <v>-4.0777311930951958E-2</v>
      </c>
      <c r="W135" s="274">
        <f t="shared" si="10"/>
        <v>-4.0777311930951958E-2</v>
      </c>
      <c r="X135" s="274">
        <f t="shared" si="10"/>
        <v>-4.0270519335251782E-2</v>
      </c>
      <c r="Y135" s="274">
        <f t="shared" si="10"/>
        <v>-4.0270519335251782E-2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0.2246387735451108</v>
      </c>
      <c r="K137" s="275">
        <f t="shared" si="12"/>
        <v>0.2246387735451108</v>
      </c>
      <c r="L137" s="275">
        <f t="shared" si="12"/>
        <v>0.17099896485707186</v>
      </c>
      <c r="M137" s="275">
        <f t="shared" si="12"/>
        <v>0.17099896485707186</v>
      </c>
      <c r="N137" s="275">
        <f t="shared" si="12"/>
        <v>0.14022663637718921</v>
      </c>
      <c r="O137" s="275">
        <f t="shared" si="12"/>
        <v>0.12598836838718666</v>
      </c>
      <c r="P137" s="275">
        <f t="shared" si="12"/>
        <v>0.10966439105529899</v>
      </c>
      <c r="Q137" s="275">
        <f t="shared" si="12"/>
        <v>0.2084172765230797</v>
      </c>
      <c r="R137" s="275">
        <f t="shared" si="12"/>
        <v>-0.10648096847058264</v>
      </c>
      <c r="S137" s="275">
        <f t="shared" si="12"/>
        <v>-0.10497558248843493</v>
      </c>
      <c r="T137" s="275">
        <f t="shared" si="12"/>
        <v>-0.10648096847058264</v>
      </c>
      <c r="U137" s="275">
        <f t="shared" si="12"/>
        <v>-0.10648096847058264</v>
      </c>
      <c r="V137" s="275">
        <f t="shared" si="12"/>
        <v>-0.10497558248843493</v>
      </c>
      <c r="W137" s="275">
        <f t="shared" si="12"/>
        <v>-0.10497558248843493</v>
      </c>
      <c r="X137" s="275">
        <f t="shared" si="12"/>
        <v>-0.10367091463724022</v>
      </c>
      <c r="Y137" s="275">
        <f t="shared" si="12"/>
        <v>-0.10367091463724022</v>
      </c>
      <c r="Z137" s="267"/>
      <c r="AA137" s="267"/>
    </row>
    <row r="138" spans="4:27" x14ac:dyDescent="0.3">
      <c r="D138" s="32"/>
      <c r="E138" s="32"/>
      <c r="F138" s="191" t="s">
        <v>193</v>
      </c>
      <c r="G138" t="s">
        <v>269</v>
      </c>
      <c r="H138" s="267"/>
      <c r="I138" s="267"/>
      <c r="J138" s="275">
        <f t="shared" ref="J138:Y138" si="13">hundred * $H33 * J58 / $H46 * J$78 / hours_in_year</f>
        <v>3.1854918357961601E-2</v>
      </c>
      <c r="K138" s="275">
        <f t="shared" si="13"/>
        <v>3.1854918357961601E-2</v>
      </c>
      <c r="L138" s="275">
        <f t="shared" si="13"/>
        <v>2.4248521209648159E-2</v>
      </c>
      <c r="M138" s="275">
        <f t="shared" si="13"/>
        <v>2.4248521209648159E-2</v>
      </c>
      <c r="N138" s="275">
        <f t="shared" si="13"/>
        <v>1.9884848830470973E-2</v>
      </c>
      <c r="O138" s="275">
        <f t="shared" si="13"/>
        <v>1.7865790155859627E-2</v>
      </c>
      <c r="P138" s="275">
        <f t="shared" si="13"/>
        <v>1.555096730948189E-2</v>
      </c>
      <c r="Q138" s="275">
        <f t="shared" si="13"/>
        <v>2.9554627739712878E-2</v>
      </c>
      <c r="R138" s="275">
        <f t="shared" si="13"/>
        <v>-1.5099541827875681E-2</v>
      </c>
      <c r="S138" s="275">
        <f t="shared" si="13"/>
        <v>-1.4886070454248786E-2</v>
      </c>
      <c r="T138" s="275">
        <f t="shared" si="13"/>
        <v>-1.5099541827875681E-2</v>
      </c>
      <c r="U138" s="275">
        <f t="shared" si="13"/>
        <v>-1.5099541827875681E-2</v>
      </c>
      <c r="V138" s="275">
        <f t="shared" si="13"/>
        <v>-1.4886070454248786E-2</v>
      </c>
      <c r="W138" s="275">
        <f t="shared" si="13"/>
        <v>-1.4886070454248786E-2</v>
      </c>
      <c r="X138" s="275">
        <f t="shared" si="13"/>
        <v>-1.4701061930438809E-2</v>
      </c>
      <c r="Y138" s="275">
        <f t="shared" si="13"/>
        <v>-1.4701061930438809E-2</v>
      </c>
      <c r="Z138" s="267"/>
      <c r="AA138" s="267"/>
    </row>
    <row r="139" spans="4:27" x14ac:dyDescent="0.3">
      <c r="D139" s="32"/>
      <c r="E139" s="32"/>
      <c r="F139" s="191" t="s">
        <v>194</v>
      </c>
      <c r="G139" t="s">
        <v>269</v>
      </c>
      <c r="H139" s="267"/>
      <c r="I139" s="267"/>
      <c r="J139" s="275">
        <f t="shared" ref="J139:Y139" si="14">hundred * $H34 * J59 / $H47 * J$78 / hours_in_year</f>
        <v>8.3597297594870654E-2</v>
      </c>
      <c r="K139" s="275">
        <f t="shared" si="14"/>
        <v>8.3597297594870654E-2</v>
      </c>
      <c r="L139" s="275">
        <f t="shared" si="14"/>
        <v>6.3635725605049237E-2</v>
      </c>
      <c r="M139" s="275">
        <f t="shared" si="14"/>
        <v>6.3635725605049237E-2</v>
      </c>
      <c r="N139" s="275">
        <f t="shared" si="14"/>
        <v>5.2184080543858272E-2</v>
      </c>
      <c r="O139" s="275">
        <f t="shared" si="14"/>
        <v>4.688543727043095E-2</v>
      </c>
      <c r="P139" s="275">
        <f t="shared" si="14"/>
        <v>4.0810616038949754E-2</v>
      </c>
      <c r="Q139" s="275">
        <f t="shared" si="14"/>
        <v>7.7560613488274421E-2</v>
      </c>
      <c r="R139" s="275">
        <f t="shared" si="14"/>
        <v>-3.9625933978124118E-2</v>
      </c>
      <c r="S139" s="275">
        <f t="shared" si="14"/>
        <v>-3.9065718134889564E-2</v>
      </c>
      <c r="T139" s="275">
        <f t="shared" si="14"/>
        <v>-3.9625933978124118E-2</v>
      </c>
      <c r="U139" s="275">
        <f t="shared" si="14"/>
        <v>-3.9625933978124118E-2</v>
      </c>
      <c r="V139" s="275">
        <f t="shared" si="14"/>
        <v>-3.9065718134889564E-2</v>
      </c>
      <c r="W139" s="275">
        <f t="shared" si="14"/>
        <v>-3.9065718134889564E-2</v>
      </c>
      <c r="X139" s="275">
        <f t="shared" si="14"/>
        <v>-3.8580197737419615E-2</v>
      </c>
      <c r="Y139" s="275">
        <f t="shared" si="14"/>
        <v>-3.8580197737419615E-2</v>
      </c>
      <c r="Z139" s="267"/>
      <c r="AA139" s="267"/>
    </row>
    <row r="140" spans="4:27" x14ac:dyDescent="0.3">
      <c r="D140" s="32"/>
      <c r="E140" s="32"/>
      <c r="F140" s="191" t="s">
        <v>195</v>
      </c>
      <c r="G140" t="s">
        <v>269</v>
      </c>
      <c r="H140" s="267"/>
      <c r="I140" s="267"/>
      <c r="J140" s="275">
        <f t="shared" ref="J140:Y140" si="15">hundred * $H35 * J60 / $H48 * J$78 / hours_in_year</f>
        <v>8.0618683987347645E-2</v>
      </c>
      <c r="K140" s="275">
        <f t="shared" si="15"/>
        <v>8.0618683987347645E-2</v>
      </c>
      <c r="L140" s="275">
        <f t="shared" si="15"/>
        <v>6.1368352811129762E-2</v>
      </c>
      <c r="M140" s="275">
        <f t="shared" si="15"/>
        <v>6.1368352811129762E-2</v>
      </c>
      <c r="N140" s="275">
        <f t="shared" si="15"/>
        <v>5.0324735602383153E-2</v>
      </c>
      <c r="O140" s="275">
        <f t="shared" si="15"/>
        <v>4.5214885644167126E-2</v>
      </c>
      <c r="P140" s="275">
        <f t="shared" si="15"/>
        <v>3.9356513337518988E-2</v>
      </c>
      <c r="Q140" s="275">
        <f t="shared" si="15"/>
        <v>7.4797089960712659E-2</v>
      </c>
      <c r="R140" s="275">
        <f t="shared" si="15"/>
        <v>-3.8214042092215947E-2</v>
      </c>
      <c r="S140" s="275">
        <f t="shared" si="15"/>
        <v>-3.7673787020224198E-2</v>
      </c>
      <c r="T140" s="275">
        <f t="shared" si="15"/>
        <v>-3.8214042092215947E-2</v>
      </c>
      <c r="U140" s="275">
        <f t="shared" si="15"/>
        <v>-3.8214042092215947E-2</v>
      </c>
      <c r="V140" s="275">
        <f t="shared" si="15"/>
        <v>-3.7673787020224198E-2</v>
      </c>
      <c r="W140" s="275">
        <f t="shared" si="15"/>
        <v>-3.7673787020224198E-2</v>
      </c>
      <c r="X140" s="275">
        <f t="shared" si="15"/>
        <v>-3.7205565957831359E-2</v>
      </c>
      <c r="Y140" s="275">
        <f t="shared" si="15"/>
        <v>-3.7205565957831359E-2</v>
      </c>
      <c r="Z140" s="267"/>
      <c r="AA140" s="267"/>
    </row>
    <row r="141" spans="4:27" x14ac:dyDescent="0.3">
      <c r="D141" s="32"/>
      <c r="E141" s="32"/>
      <c r="F141" s="191" t="s">
        <v>196</v>
      </c>
      <c r="G141" t="s">
        <v>269</v>
      </c>
      <c r="H141" s="267"/>
      <c r="I141" s="267"/>
      <c r="J141" s="275">
        <f t="shared" ref="J141:Y141" si="16">hundred * $H36 * J61 / $H49 * J$78 / hours_in_year</f>
        <v>0</v>
      </c>
      <c r="K141" s="275">
        <f t="shared" si="16"/>
        <v>0</v>
      </c>
      <c r="L141" s="275">
        <f t="shared" si="16"/>
        <v>0</v>
      </c>
      <c r="M141" s="275">
        <f t="shared" si="16"/>
        <v>0</v>
      </c>
      <c r="N141" s="275">
        <f t="shared" si="16"/>
        <v>0</v>
      </c>
      <c r="O141" s="275">
        <f t="shared" si="16"/>
        <v>0</v>
      </c>
      <c r="P141" s="275">
        <f t="shared" si="16"/>
        <v>0</v>
      </c>
      <c r="Q141" s="275">
        <f t="shared" si="16"/>
        <v>0</v>
      </c>
      <c r="R141" s="275">
        <f t="shared" si="16"/>
        <v>0</v>
      </c>
      <c r="S141" s="275">
        <f t="shared" si="16"/>
        <v>0</v>
      </c>
      <c r="T141" s="275">
        <f t="shared" si="16"/>
        <v>0</v>
      </c>
      <c r="U141" s="275">
        <f t="shared" si="16"/>
        <v>0</v>
      </c>
      <c r="V141" s="275">
        <f t="shared" si="16"/>
        <v>0</v>
      </c>
      <c r="W141" s="275">
        <f t="shared" si="16"/>
        <v>0</v>
      </c>
      <c r="X141" s="275">
        <f t="shared" si="16"/>
        <v>0</v>
      </c>
      <c r="Y141" s="275">
        <f t="shared" si="16"/>
        <v>0</v>
      </c>
      <c r="Z141" s="267"/>
      <c r="AA141" s="267"/>
    </row>
    <row r="142" spans="4:27" x14ac:dyDescent="0.3">
      <c r="D142" s="32"/>
      <c r="E142" s="32"/>
      <c r="F142" s="191" t="s">
        <v>197</v>
      </c>
      <c r="G142" t="s">
        <v>269</v>
      </c>
      <c r="H142" s="267"/>
      <c r="I142" s="267"/>
      <c r="J142" s="275">
        <f t="shared" ref="J142:Y142" si="17">hundred * $H37 * J62 / $H50 * J$78 / hours_in_year</f>
        <v>0.30940938458300526</v>
      </c>
      <c r="K142" s="275">
        <f t="shared" si="17"/>
        <v>0.30940938458300526</v>
      </c>
      <c r="L142" s="275">
        <f t="shared" si="17"/>
        <v>0.23552783718405004</v>
      </c>
      <c r="M142" s="275">
        <f t="shared" si="17"/>
        <v>0.23552783718405004</v>
      </c>
      <c r="N142" s="275">
        <f t="shared" si="17"/>
        <v>0.19314313632903685</v>
      </c>
      <c r="O142" s="275">
        <f t="shared" si="17"/>
        <v>0.17353185699915785</v>
      </c>
      <c r="P142" s="275">
        <f t="shared" si="17"/>
        <v>0.15104779647613326</v>
      </c>
      <c r="Q142" s="275">
        <f t="shared" si="17"/>
        <v>0.28706647676084435</v>
      </c>
      <c r="R142" s="275">
        <f t="shared" si="17"/>
        <v>-0.14666306445832367</v>
      </c>
      <c r="S142" s="275">
        <f t="shared" si="17"/>
        <v>-0.14458959983355943</v>
      </c>
      <c r="T142" s="275">
        <f t="shared" si="17"/>
        <v>-0.14666306445832367</v>
      </c>
      <c r="U142" s="275">
        <f t="shared" si="17"/>
        <v>-0.14666306445832367</v>
      </c>
      <c r="V142" s="275">
        <f t="shared" si="17"/>
        <v>-0.14458959983355943</v>
      </c>
      <c r="W142" s="275">
        <f t="shared" si="17"/>
        <v>-0.14458959983355943</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0.13402036469540504</v>
      </c>
      <c r="K143" s="275">
        <f t="shared" si="18"/>
        <v>0.13402036469540504</v>
      </c>
      <c r="L143" s="275">
        <f t="shared" si="18"/>
        <v>0.1020186465186491</v>
      </c>
      <c r="M143" s="275">
        <f t="shared" si="18"/>
        <v>0.1020186465186491</v>
      </c>
      <c r="N143" s="275">
        <f t="shared" si="18"/>
        <v>8.3659755841334713E-2</v>
      </c>
      <c r="O143" s="275">
        <f t="shared" si="18"/>
        <v>7.5165149863316169E-2</v>
      </c>
      <c r="P143" s="275">
        <f t="shared" si="18"/>
        <v>0</v>
      </c>
      <c r="Q143" s="275">
        <f t="shared" si="18"/>
        <v>0.12434255657488724</v>
      </c>
      <c r="R143" s="275">
        <f t="shared" si="18"/>
        <v>-6.3526959314891648E-2</v>
      </c>
      <c r="S143" s="275">
        <f t="shared" si="18"/>
        <v>0</v>
      </c>
      <c r="T143" s="275">
        <f t="shared" si="18"/>
        <v>-6.3526959314891648E-2</v>
      </c>
      <c r="U143" s="275">
        <f t="shared" si="18"/>
        <v>-6.3526959314891648E-2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0.3187531904961084</v>
      </c>
      <c r="K144" s="276">
        <f t="shared" si="19"/>
        <v>0.3187531904961084</v>
      </c>
      <c r="L144" s="276">
        <f t="shared" si="19"/>
        <v>0.24264050573076096</v>
      </c>
      <c r="M144" s="276">
        <f t="shared" si="19"/>
        <v>0.24264050573076096</v>
      </c>
      <c r="N144" s="276">
        <f t="shared" si="19"/>
        <v>0.19897583588253856</v>
      </c>
      <c r="O144" s="276">
        <f t="shared" si="19"/>
        <v>0</v>
      </c>
      <c r="P144" s="276">
        <f t="shared" si="19"/>
        <v>0</v>
      </c>
      <c r="Q144" s="276">
        <f t="shared" si="19"/>
        <v>0.29573555267341445</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3.2597974437126167</v>
      </c>
      <c r="K154" s="275">
        <f t="shared" si="22"/>
        <v>3.2597974437126167</v>
      </c>
      <c r="L154" s="275">
        <f t="shared" si="22"/>
        <v>2.9541050917937408</v>
      </c>
      <c r="M154" s="275">
        <f t="shared" si="22"/>
        <v>2.9541050917937408</v>
      </c>
      <c r="N154" s="275">
        <f t="shared" si="22"/>
        <v>2.1751353078253142</v>
      </c>
      <c r="O154" s="275">
        <f t="shared" si="22"/>
        <v>2.1205967294766039</v>
      </c>
      <c r="P154" s="275">
        <f t="shared" si="22"/>
        <v>1.917512083036504</v>
      </c>
      <c r="Q154" s="275">
        <f t="shared" si="22"/>
        <v>7.3585871471964408</v>
      </c>
      <c r="R154" s="275">
        <f t="shared" si="22"/>
        <v>-1.9384389750675373</v>
      </c>
      <c r="S154" s="275">
        <f t="shared" si="22"/>
        <v>-1.911034088520871</v>
      </c>
      <c r="T154" s="275">
        <f t="shared" si="22"/>
        <v>-1.9384389750675373</v>
      </c>
      <c r="U154" s="275">
        <f t="shared" si="22"/>
        <v>-1.9384389750675373</v>
      </c>
      <c r="V154" s="275">
        <f t="shared" si="22"/>
        <v>-1.911034088520871</v>
      </c>
      <c r="W154" s="275">
        <f t="shared" si="22"/>
        <v>-1.911034088520871</v>
      </c>
      <c r="X154" s="275">
        <f t="shared" si="22"/>
        <v>-1.8872831868470927</v>
      </c>
      <c r="Y154" s="275">
        <f t="shared" si="22"/>
        <v>-1.8872831868470927</v>
      </c>
      <c r="Z154" s="267"/>
      <c r="AA154" s="267"/>
    </row>
    <row r="155" spans="3:27" x14ac:dyDescent="0.3">
      <c r="E155" s="32"/>
      <c r="F155" s="191" t="s">
        <v>193</v>
      </c>
      <c r="G155" t="s">
        <v>269</v>
      </c>
      <c r="H155" s="267"/>
      <c r="I155" s="267"/>
      <c r="J155" s="275">
        <f t="shared" ref="J155:Y155" si="23">hundred * $H21 * J58 / $H46 * J84 * (1 - J70) / hours_in_year</f>
        <v>0.46225582429163581</v>
      </c>
      <c r="K155" s="275">
        <f t="shared" si="23"/>
        <v>0.46225582429163581</v>
      </c>
      <c r="L155" s="275">
        <f t="shared" si="23"/>
        <v>0.41890709709128204</v>
      </c>
      <c r="M155" s="275">
        <f t="shared" si="23"/>
        <v>0.41890709709128204</v>
      </c>
      <c r="N155" s="275">
        <f t="shared" si="23"/>
        <v>0.30844522766405164</v>
      </c>
      <c r="O155" s="275">
        <f t="shared" si="23"/>
        <v>0.30071138041568879</v>
      </c>
      <c r="P155" s="275">
        <f t="shared" si="23"/>
        <v>8.9731272407779339E-2</v>
      </c>
      <c r="Q155" s="275">
        <f t="shared" si="23"/>
        <v>1.043485009754185</v>
      </c>
      <c r="R155" s="275">
        <f t="shared" si="23"/>
        <v>-0.27488048620541039</v>
      </c>
      <c r="S155" s="275">
        <f t="shared" si="23"/>
        <v>-0.27099433418554125</v>
      </c>
      <c r="T155" s="275">
        <f t="shared" si="23"/>
        <v>-0.27488048620541039</v>
      </c>
      <c r="U155" s="275">
        <f t="shared" si="23"/>
        <v>-0.27488048620541039</v>
      </c>
      <c r="V155" s="275">
        <f t="shared" si="23"/>
        <v>-0.27099433418554125</v>
      </c>
      <c r="W155" s="275">
        <f t="shared" si="23"/>
        <v>-0.27099433418554125</v>
      </c>
      <c r="X155" s="275">
        <f t="shared" si="23"/>
        <v>-8.8316690803546025E-2</v>
      </c>
      <c r="Y155" s="275">
        <f t="shared" si="23"/>
        <v>-8.8316690803546025E-2</v>
      </c>
      <c r="Z155" s="267"/>
      <c r="AA155" s="267"/>
    </row>
    <row r="156" spans="3:27" x14ac:dyDescent="0.3">
      <c r="E156" s="32"/>
      <c r="F156" s="191" t="s">
        <v>194</v>
      </c>
      <c r="G156" t="s">
        <v>269</v>
      </c>
      <c r="H156" s="267"/>
      <c r="I156" s="267"/>
      <c r="J156" s="275">
        <f t="shared" ref="J156:Y156" si="24">hundred * $H22 * J59 / $H47 * J85 * (1 - J71) / hours_in_year</f>
        <v>0.86643183547915059</v>
      </c>
      <c r="K156" s="275">
        <f t="shared" si="24"/>
        <v>0.86643183547915059</v>
      </c>
      <c r="L156" s="275">
        <f t="shared" si="24"/>
        <v>0.78518090190477607</v>
      </c>
      <c r="M156" s="275">
        <f t="shared" si="24"/>
        <v>0.78518090190477607</v>
      </c>
      <c r="N156" s="275">
        <f t="shared" si="24"/>
        <v>0.57813606818103291</v>
      </c>
      <c r="O156" s="275">
        <f t="shared" si="24"/>
        <v>0.56364008756903572</v>
      </c>
      <c r="P156" s="275">
        <f t="shared" si="24"/>
        <v>0.1681883211991769</v>
      </c>
      <c r="Q156" s="275">
        <f t="shared" si="24"/>
        <v>1.7019206591270826</v>
      </c>
      <c r="R156" s="275">
        <f t="shared" si="24"/>
        <v>-0.51522380397331113</v>
      </c>
      <c r="S156" s="275">
        <f t="shared" si="24"/>
        <v>-0.50793977281440483</v>
      </c>
      <c r="T156" s="275">
        <f t="shared" si="24"/>
        <v>-0.51522380397331113</v>
      </c>
      <c r="U156" s="275">
        <f t="shared" si="24"/>
        <v>-0.51522380397331113</v>
      </c>
      <c r="V156" s="275">
        <f t="shared" si="24"/>
        <v>-0.50793977281440483</v>
      </c>
      <c r="W156" s="275">
        <f t="shared" si="24"/>
        <v>-0.50793977281440483</v>
      </c>
      <c r="X156" s="275">
        <f t="shared" si="24"/>
        <v>-0.16553689211730632</v>
      </c>
      <c r="Y156" s="275">
        <f t="shared" si="24"/>
        <v>-0.16553689211730632</v>
      </c>
      <c r="Z156" s="267"/>
      <c r="AA156" s="267"/>
    </row>
    <row r="157" spans="3:27" x14ac:dyDescent="0.3">
      <c r="E157" s="32"/>
      <c r="F157" s="191" t="s">
        <v>195</v>
      </c>
      <c r="G157" t="s">
        <v>269</v>
      </c>
      <c r="H157" s="267"/>
      <c r="I157" s="267"/>
      <c r="J157" s="275">
        <f t="shared" ref="J157:Y157" si="25">hundred * $H23 * J60 / $H48 * J86 * (1 - J72) / hours_in_year</f>
        <v>0.15875648264517397</v>
      </c>
      <c r="K157" s="275">
        <f t="shared" si="25"/>
        <v>0.15875648264517397</v>
      </c>
      <c r="L157" s="275">
        <f t="shared" si="25"/>
        <v>0.1438688574475484</v>
      </c>
      <c r="M157" s="275">
        <f t="shared" si="25"/>
        <v>0.1438688574475484</v>
      </c>
      <c r="N157" s="275">
        <f t="shared" si="25"/>
        <v>0.10593199016512808</v>
      </c>
      <c r="O157" s="275">
        <f t="shared" si="25"/>
        <v>0.10327588866906449</v>
      </c>
      <c r="P157" s="275">
        <f t="shared" si="25"/>
        <v>0</v>
      </c>
      <c r="Q157" s="275">
        <f t="shared" si="25"/>
        <v>0.31184327089591746</v>
      </c>
      <c r="R157" s="275">
        <f t="shared" si="25"/>
        <v>-9.4404563110998194E-2</v>
      </c>
      <c r="S157" s="275">
        <f t="shared" si="25"/>
        <v>-9.3069908590107567E-2</v>
      </c>
      <c r="T157" s="275">
        <f t="shared" si="25"/>
        <v>-9.4404563110998194E-2</v>
      </c>
      <c r="U157" s="275">
        <f t="shared" si="25"/>
        <v>-9.4404563110998194E-2</v>
      </c>
      <c r="V157" s="275">
        <f t="shared" si="25"/>
        <v>-9.3069908590107567E-2</v>
      </c>
      <c r="W157" s="275">
        <f t="shared" si="25"/>
        <v>-9.3069908590107567E-2</v>
      </c>
      <c r="X157" s="275">
        <f t="shared" si="25"/>
        <v>0</v>
      </c>
      <c r="Y157" s="275">
        <f t="shared" si="25"/>
        <v>0</v>
      </c>
      <c r="Z157" s="267"/>
      <c r="AA157" s="267"/>
    </row>
    <row r="158" spans="3:27" x14ac:dyDescent="0.3">
      <c r="E158" s="32"/>
      <c r="F158" s="191" t="s">
        <v>196</v>
      </c>
      <c r="G158" t="s">
        <v>269</v>
      </c>
      <c r="H158" s="267"/>
      <c r="I158" s="267"/>
      <c r="J158" s="275">
        <f t="shared" ref="J158:Y158" si="26">hundred * $H24 * J61 / $H49 * J87 * (1 - J73) / hours_in_year</f>
        <v>0</v>
      </c>
      <c r="K158" s="275">
        <f t="shared" si="26"/>
        <v>0</v>
      </c>
      <c r="L158" s="275">
        <f t="shared" si="26"/>
        <v>0</v>
      </c>
      <c r="M158" s="275">
        <f t="shared" si="26"/>
        <v>0</v>
      </c>
      <c r="N158" s="275">
        <f t="shared" si="26"/>
        <v>0</v>
      </c>
      <c r="O158" s="275">
        <f t="shared" si="26"/>
        <v>0</v>
      </c>
      <c r="P158" s="275">
        <f t="shared" si="26"/>
        <v>0</v>
      </c>
      <c r="Q158" s="275">
        <f t="shared" si="26"/>
        <v>0</v>
      </c>
      <c r="R158" s="275">
        <f t="shared" si="26"/>
        <v>0</v>
      </c>
      <c r="S158" s="275">
        <f t="shared" si="26"/>
        <v>0</v>
      </c>
      <c r="T158" s="275">
        <f t="shared" si="26"/>
        <v>0</v>
      </c>
      <c r="U158" s="275">
        <f t="shared" si="26"/>
        <v>0</v>
      </c>
      <c r="V158" s="275">
        <f t="shared" si="26"/>
        <v>0</v>
      </c>
      <c r="W158" s="275">
        <f t="shared" si="26"/>
        <v>0</v>
      </c>
      <c r="X158" s="275">
        <f t="shared" si="26"/>
        <v>0</v>
      </c>
      <c r="Y158" s="275">
        <f t="shared" si="26"/>
        <v>0</v>
      </c>
      <c r="Z158" s="267"/>
      <c r="AA158" s="267"/>
    </row>
    <row r="159" spans="3:27" x14ac:dyDescent="0.3">
      <c r="E159" s="32"/>
      <c r="F159" s="191" t="s">
        <v>197</v>
      </c>
      <c r="G159" t="s">
        <v>269</v>
      </c>
      <c r="H159" s="267"/>
      <c r="I159" s="267"/>
      <c r="J159" s="275">
        <f t="shared" ref="J159:Y159" si="27">hundred * $H25 * J62 / $H50 * J88 * (1 - J74) / hours_in_year</f>
        <v>0.60929728896982349</v>
      </c>
      <c r="K159" s="275">
        <f t="shared" si="27"/>
        <v>0.60929728896982349</v>
      </c>
      <c r="L159" s="275">
        <f t="shared" si="27"/>
        <v>0.55215952979947169</v>
      </c>
      <c r="M159" s="275">
        <f t="shared" si="27"/>
        <v>0.55215952979947169</v>
      </c>
      <c r="N159" s="275">
        <f t="shared" si="27"/>
        <v>0.4065602446424107</v>
      </c>
      <c r="O159" s="275">
        <f t="shared" si="27"/>
        <v>0.39636629593672329</v>
      </c>
      <c r="P159" s="275">
        <f t="shared" si="27"/>
        <v>0</v>
      </c>
      <c r="Q159" s="275">
        <f t="shared" si="27"/>
        <v>1.1968346512503232</v>
      </c>
      <c r="R159" s="275">
        <f t="shared" si="27"/>
        <v>-0.36231871235439195</v>
      </c>
      <c r="S159" s="275">
        <f t="shared" si="27"/>
        <v>-0.35719639314108764</v>
      </c>
      <c r="T159" s="275">
        <f t="shared" si="27"/>
        <v>-0.36231871235439195</v>
      </c>
      <c r="U159" s="275">
        <f t="shared" si="27"/>
        <v>-0.36231871235439195</v>
      </c>
      <c r="V159" s="275">
        <f t="shared" si="27"/>
        <v>-0.35719639314108764</v>
      </c>
      <c r="W159" s="275">
        <f t="shared" si="27"/>
        <v>-0.35719639314108764</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6.9451713102834753E-2</v>
      </c>
      <c r="K160" s="275">
        <f t="shared" si="28"/>
        <v>6.9451713102834753E-2</v>
      </c>
      <c r="L160" s="275">
        <f t="shared" si="28"/>
        <v>6.2938775446493608E-2</v>
      </c>
      <c r="M160" s="275">
        <f t="shared" si="28"/>
        <v>6.2938775446493608E-2</v>
      </c>
      <c r="N160" s="275">
        <f t="shared" si="28"/>
        <v>4.6342411136711073E-2</v>
      </c>
      <c r="O160" s="275">
        <f t="shared" si="28"/>
        <v>4.5180437804957944E-2</v>
      </c>
      <c r="P160" s="275">
        <f t="shared" si="28"/>
        <v>0</v>
      </c>
      <c r="Q160" s="275">
        <f t="shared" si="28"/>
        <v>0.13642308661951963</v>
      </c>
      <c r="R160" s="275">
        <f t="shared" si="28"/>
        <v>-4.1299470254941531E-2</v>
      </c>
      <c r="S160" s="275">
        <f t="shared" si="28"/>
        <v>0</v>
      </c>
      <c r="T160" s="275">
        <f t="shared" si="28"/>
        <v>-4.1299470254941531E-2</v>
      </c>
      <c r="U160" s="275">
        <f t="shared" si="28"/>
        <v>-4.1299470254941531E-2</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0.16518351660408487</v>
      </c>
      <c r="K161" s="276">
        <f t="shared" si="29"/>
        <v>0.16518351660408487</v>
      </c>
      <c r="L161" s="276">
        <f t="shared" si="29"/>
        <v>0.14969318674131171</v>
      </c>
      <c r="M161" s="276">
        <f t="shared" si="29"/>
        <v>0.14969318674131171</v>
      </c>
      <c r="N161" s="276">
        <f t="shared" si="29"/>
        <v>0.11022049849425233</v>
      </c>
      <c r="O161" s="276">
        <f t="shared" si="29"/>
        <v>0</v>
      </c>
      <c r="P161" s="276">
        <f t="shared" si="29"/>
        <v>0</v>
      </c>
      <c r="Q161" s="276">
        <f t="shared" si="29"/>
        <v>0.32446780917310664</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1.0151637489846306</v>
      </c>
      <c r="K164" s="274">
        <f t="shared" si="30"/>
        <v>1.0151637489846306</v>
      </c>
      <c r="L164" s="274">
        <f t="shared" si="30"/>
        <v>0.91996525908813587</v>
      </c>
      <c r="M164" s="274">
        <f t="shared" si="30"/>
        <v>0.91996525908813587</v>
      </c>
      <c r="N164" s="274">
        <f t="shared" si="30"/>
        <v>0.67737905552988453</v>
      </c>
      <c r="O164" s="274">
        <f t="shared" si="30"/>
        <v>0.66039469112787053</v>
      </c>
      <c r="P164" s="274">
        <f t="shared" si="30"/>
        <v>0.59715021824229542</v>
      </c>
      <c r="Q164" s="274">
        <f t="shared" si="30"/>
        <v>1.9382769609686996</v>
      </c>
      <c r="R164" s="274">
        <f t="shared" si="30"/>
        <v>-0.60366725573792124</v>
      </c>
      <c r="S164" s="274">
        <f t="shared" si="30"/>
        <v>-0.59513284590185256</v>
      </c>
      <c r="T164" s="274">
        <f t="shared" si="30"/>
        <v>-0.60366725573792124</v>
      </c>
      <c r="U164" s="274">
        <f t="shared" si="30"/>
        <v>-0.60366725573792124</v>
      </c>
      <c r="V164" s="274">
        <f t="shared" si="30"/>
        <v>-0.59513284590185256</v>
      </c>
      <c r="W164" s="274">
        <f t="shared" si="30"/>
        <v>-0.59513284590185256</v>
      </c>
      <c r="X164" s="274">
        <f t="shared" si="30"/>
        <v>-0.58773635737725971</v>
      </c>
      <c r="Y164" s="274">
        <f t="shared" si="30"/>
        <v>-0.58773635737725971</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2.5907594165451608</v>
      </c>
      <c r="K166" s="275">
        <f t="shared" si="32"/>
        <v>2.5907594165451608</v>
      </c>
      <c r="L166" s="275">
        <f t="shared" si="32"/>
        <v>2.3478071003430614</v>
      </c>
      <c r="M166" s="275">
        <f t="shared" si="32"/>
        <v>2.3478071003430614</v>
      </c>
      <c r="N166" s="275">
        <f t="shared" si="32"/>
        <v>1.7287124056978962</v>
      </c>
      <c r="O166" s="275">
        <f t="shared" si="32"/>
        <v>1.6853672783206006</v>
      </c>
      <c r="P166" s="275">
        <f t="shared" si="32"/>
        <v>1.523963550265276</v>
      </c>
      <c r="Q166" s="275">
        <f t="shared" si="32"/>
        <v>5.8483170421640711</v>
      </c>
      <c r="R166" s="275">
        <f t="shared" si="32"/>
        <v>-1.5405954249521505</v>
      </c>
      <c r="S166" s="275">
        <f t="shared" si="32"/>
        <v>-1.518815093779406</v>
      </c>
      <c r="T166" s="275">
        <f t="shared" si="32"/>
        <v>-1.5405954249521505</v>
      </c>
      <c r="U166" s="275">
        <f t="shared" si="32"/>
        <v>-1.5405954249521505</v>
      </c>
      <c r="V166" s="275">
        <f t="shared" si="32"/>
        <v>-1.518815093779406</v>
      </c>
      <c r="W166" s="275">
        <f t="shared" si="32"/>
        <v>-1.518815093779406</v>
      </c>
      <c r="X166" s="275">
        <f t="shared" si="32"/>
        <v>-1.4999388067630268</v>
      </c>
      <c r="Y166" s="275">
        <f t="shared" si="32"/>
        <v>-1.4999388067630268</v>
      </c>
      <c r="Z166" s="267"/>
      <c r="AA166" s="267"/>
    </row>
    <row r="167" spans="3:27" x14ac:dyDescent="0.3">
      <c r="D167" s="32"/>
      <c r="E167" s="32"/>
      <c r="F167" s="191" t="s">
        <v>193</v>
      </c>
      <c r="G167" t="s">
        <v>269</v>
      </c>
      <c r="H167" s="267"/>
      <c r="I167" s="267"/>
      <c r="J167" s="275">
        <f t="shared" ref="J167:Y167" si="33">hundred * $H33 * J58 / $H46 * J84 / hours_in_year</f>
        <v>0.36738283599377553</v>
      </c>
      <c r="K167" s="275">
        <f t="shared" si="33"/>
        <v>0.36738283599377553</v>
      </c>
      <c r="L167" s="275">
        <f t="shared" si="33"/>
        <v>0.33293096432727803</v>
      </c>
      <c r="M167" s="275">
        <f t="shared" si="33"/>
        <v>0.33293096432727803</v>
      </c>
      <c r="N167" s="275">
        <f t="shared" si="33"/>
        <v>0.24514019409406815</v>
      </c>
      <c r="O167" s="275">
        <f t="shared" si="33"/>
        <v>0.23899363501155099</v>
      </c>
      <c r="P167" s="275">
        <f t="shared" si="33"/>
        <v>0.21610576708593437</v>
      </c>
      <c r="Q167" s="275">
        <f t="shared" si="33"/>
        <v>0.82932104271037888</v>
      </c>
      <c r="R167" s="275">
        <f t="shared" si="33"/>
        <v>-0.21846425134014014</v>
      </c>
      <c r="S167" s="275">
        <f t="shared" si="33"/>
        <v>-0.21537568982260752</v>
      </c>
      <c r="T167" s="275">
        <f t="shared" si="33"/>
        <v>-0.21846425134014014</v>
      </c>
      <c r="U167" s="275">
        <f t="shared" si="33"/>
        <v>-0.21846425134014014</v>
      </c>
      <c r="V167" s="275">
        <f t="shared" si="33"/>
        <v>-0.21537568982260752</v>
      </c>
      <c r="W167" s="275">
        <f t="shared" si="33"/>
        <v>-0.21537568982260752</v>
      </c>
      <c r="X167" s="275">
        <f t="shared" si="33"/>
        <v>-0.21269893650741259</v>
      </c>
      <c r="Y167" s="275">
        <f t="shared" si="33"/>
        <v>-0.21269893650741259</v>
      </c>
      <c r="Z167" s="267"/>
      <c r="AA167" s="267"/>
    </row>
    <row r="168" spans="3:27" x14ac:dyDescent="0.3">
      <c r="D168" s="32"/>
      <c r="E168" s="32"/>
      <c r="F168" s="191" t="s">
        <v>194</v>
      </c>
      <c r="G168" t="s">
        <v>269</v>
      </c>
      <c r="H168" s="267"/>
      <c r="I168" s="267"/>
      <c r="J168" s="275">
        <f t="shared" ref="J168:Y168" si="34">hundred * $H34 * J59 / $H47 * J85 / hours_in_year</f>
        <v>0.68860610983410897</v>
      </c>
      <c r="K168" s="275">
        <f t="shared" si="34"/>
        <v>0.68860610983410897</v>
      </c>
      <c r="L168" s="275">
        <f t="shared" si="34"/>
        <v>0.62403104807163534</v>
      </c>
      <c r="M168" s="275">
        <f t="shared" si="34"/>
        <v>0.62403104807163534</v>
      </c>
      <c r="N168" s="275">
        <f t="shared" si="34"/>
        <v>0.45947991816894423</v>
      </c>
      <c r="O168" s="275">
        <f t="shared" si="34"/>
        <v>0.44795908016564323</v>
      </c>
      <c r="P168" s="275">
        <f t="shared" si="34"/>
        <v>0.40505907463864915</v>
      </c>
      <c r="Q168" s="275">
        <f t="shared" si="34"/>
        <v>1.3526199250050575</v>
      </c>
      <c r="R168" s="275">
        <f t="shared" si="34"/>
        <v>-0.40947971302530783</v>
      </c>
      <c r="S168" s="275">
        <f t="shared" si="34"/>
        <v>-0.40369065016444111</v>
      </c>
      <c r="T168" s="275">
        <f t="shared" si="34"/>
        <v>-0.40947971302530783</v>
      </c>
      <c r="U168" s="275">
        <f t="shared" si="34"/>
        <v>-0.40947971302530783</v>
      </c>
      <c r="V168" s="275">
        <f t="shared" si="34"/>
        <v>-0.40369065016444111</v>
      </c>
      <c r="W168" s="275">
        <f t="shared" si="34"/>
        <v>-0.40369065016444111</v>
      </c>
      <c r="X168" s="275">
        <f t="shared" si="34"/>
        <v>-0.39867346235168993</v>
      </c>
      <c r="Y168" s="275">
        <f t="shared" si="34"/>
        <v>-0.39867346235168993</v>
      </c>
      <c r="Z168" s="267"/>
      <c r="AA168" s="267"/>
    </row>
    <row r="169" spans="3:27" x14ac:dyDescent="0.3">
      <c r="D169" s="32"/>
      <c r="E169" s="32"/>
      <c r="F169" s="191" t="s">
        <v>195</v>
      </c>
      <c r="G169" t="s">
        <v>269</v>
      </c>
      <c r="H169" s="267"/>
      <c r="I169" s="267"/>
      <c r="J169" s="275">
        <f t="shared" ref="J169:Y169" si="35">hundred * $H35 * J60 / $H48 * J86 / hours_in_year</f>
        <v>0.66407072905044584</v>
      </c>
      <c r="K169" s="275">
        <f t="shared" si="35"/>
        <v>0.66407072905044584</v>
      </c>
      <c r="L169" s="275">
        <f t="shared" si="35"/>
        <v>0.60179650909992266</v>
      </c>
      <c r="M169" s="275">
        <f t="shared" si="35"/>
        <v>0.60179650909992266</v>
      </c>
      <c r="N169" s="275">
        <f t="shared" si="35"/>
        <v>0.44310841841934528</v>
      </c>
      <c r="O169" s="275">
        <f t="shared" si="35"/>
        <v>0.43199807364769149</v>
      </c>
      <c r="P169" s="275">
        <f t="shared" si="35"/>
        <v>0.3906266168166706</v>
      </c>
      <c r="Q169" s="275">
        <f t="shared" si="35"/>
        <v>1.3044253992208412</v>
      </c>
      <c r="R169" s="275">
        <f t="shared" si="35"/>
        <v>-0.39488974564223978</v>
      </c>
      <c r="S169" s="275">
        <f t="shared" si="35"/>
        <v>-0.38930694999225518</v>
      </c>
      <c r="T169" s="275">
        <f t="shared" si="35"/>
        <v>-0.39488974564223978</v>
      </c>
      <c r="U169" s="275">
        <f t="shared" si="35"/>
        <v>-0.39488974564223978</v>
      </c>
      <c r="V169" s="275">
        <f t="shared" si="35"/>
        <v>-0.38930694999225518</v>
      </c>
      <c r="W169" s="275">
        <f t="shared" si="35"/>
        <v>-0.38930694999225518</v>
      </c>
      <c r="X169" s="275">
        <f t="shared" si="35"/>
        <v>-0.38446852709560198</v>
      </c>
      <c r="Y169" s="275">
        <f t="shared" si="35"/>
        <v>-0.38446852709560198</v>
      </c>
      <c r="Z169" s="267"/>
      <c r="AA169" s="267"/>
    </row>
    <row r="170" spans="3:27" x14ac:dyDescent="0.3">
      <c r="D170" s="32"/>
      <c r="E170" s="32"/>
      <c r="F170" s="191" t="s">
        <v>196</v>
      </c>
      <c r="G170" t="s">
        <v>269</v>
      </c>
      <c r="H170" s="267"/>
      <c r="I170" s="267"/>
      <c r="J170" s="275">
        <f t="shared" ref="J170:Y170" si="36">hundred * $H36 * J61 / $H49 * J87 / hours_in_year</f>
        <v>0</v>
      </c>
      <c r="K170" s="275">
        <f t="shared" si="36"/>
        <v>0</v>
      </c>
      <c r="L170" s="275">
        <f t="shared" si="36"/>
        <v>0</v>
      </c>
      <c r="M170" s="275">
        <f t="shared" si="36"/>
        <v>0</v>
      </c>
      <c r="N170" s="275">
        <f t="shared" si="36"/>
        <v>0</v>
      </c>
      <c r="O170" s="275">
        <f t="shared" si="36"/>
        <v>0</v>
      </c>
      <c r="P170" s="275">
        <f t="shared" si="36"/>
        <v>0</v>
      </c>
      <c r="Q170" s="275">
        <f t="shared" si="36"/>
        <v>0</v>
      </c>
      <c r="R170" s="275">
        <f t="shared" si="36"/>
        <v>0</v>
      </c>
      <c r="S170" s="275">
        <f t="shared" si="36"/>
        <v>0</v>
      </c>
      <c r="T170" s="275">
        <f t="shared" si="36"/>
        <v>0</v>
      </c>
      <c r="U170" s="275">
        <f t="shared" si="36"/>
        <v>0</v>
      </c>
      <c r="V170" s="275">
        <f t="shared" si="36"/>
        <v>0</v>
      </c>
      <c r="W170" s="275">
        <f t="shared" si="36"/>
        <v>0</v>
      </c>
      <c r="X170" s="275">
        <f t="shared" si="36"/>
        <v>0</v>
      </c>
      <c r="Y170" s="275">
        <f t="shared" si="36"/>
        <v>0</v>
      </c>
      <c r="Z170" s="267"/>
      <c r="AA170" s="267"/>
    </row>
    <row r="171" spans="3:27" x14ac:dyDescent="0.3">
      <c r="D171" s="32"/>
      <c r="E171" s="32"/>
      <c r="F171" s="191" t="s">
        <v>197</v>
      </c>
      <c r="G171" t="s">
        <v>269</v>
      </c>
      <c r="H171" s="267"/>
      <c r="I171" s="267"/>
      <c r="J171" s="275">
        <f t="shared" ref="J171:Y171" si="37">hundred * $H37 * J62 / $H50 * J88 / hours_in_year</f>
        <v>2.5486612461614069</v>
      </c>
      <c r="K171" s="275">
        <f t="shared" si="37"/>
        <v>2.5486612461614069</v>
      </c>
      <c r="L171" s="275">
        <f t="shared" si="37"/>
        <v>2.3096567484781887</v>
      </c>
      <c r="M171" s="275">
        <f t="shared" si="37"/>
        <v>2.3096567484781887</v>
      </c>
      <c r="N171" s="275">
        <f t="shared" si="37"/>
        <v>1.7006219435211232</v>
      </c>
      <c r="O171" s="275">
        <f t="shared" si="37"/>
        <v>1.6579811465212382</v>
      </c>
      <c r="P171" s="275">
        <f t="shared" si="37"/>
        <v>1.499200124997772</v>
      </c>
      <c r="Q171" s="275">
        <f t="shared" si="37"/>
        <v>5.0063017658624016</v>
      </c>
      <c r="R171" s="275">
        <f t="shared" si="37"/>
        <v>-1.5155617424427359</v>
      </c>
      <c r="S171" s="275">
        <f t="shared" si="37"/>
        <v>-1.4941353276108407</v>
      </c>
      <c r="T171" s="275">
        <f t="shared" si="37"/>
        <v>-1.5155617424427359</v>
      </c>
      <c r="U171" s="275">
        <f t="shared" si="37"/>
        <v>-1.5155617424427359</v>
      </c>
      <c r="V171" s="275">
        <f t="shared" si="37"/>
        <v>-1.4941353276108407</v>
      </c>
      <c r="W171" s="275">
        <f t="shared" si="37"/>
        <v>-1.4941353276108407</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1.1039500632986248</v>
      </c>
      <c r="K172" s="275">
        <f t="shared" si="38"/>
        <v>1.1039500632986248</v>
      </c>
      <c r="L172" s="275">
        <f t="shared" si="38"/>
        <v>1.0004255047707182</v>
      </c>
      <c r="M172" s="275">
        <f t="shared" si="38"/>
        <v>1.0004255047707182</v>
      </c>
      <c r="N172" s="275">
        <f t="shared" si="38"/>
        <v>0.73662268966688682</v>
      </c>
      <c r="O172" s="275">
        <f t="shared" si="38"/>
        <v>0.71815287120120208</v>
      </c>
      <c r="P172" s="275">
        <f t="shared" si="38"/>
        <v>0</v>
      </c>
      <c r="Q172" s="275">
        <f t="shared" si="38"/>
        <v>2.1684745901950322</v>
      </c>
      <c r="R172" s="275">
        <f t="shared" si="38"/>
        <v>-0.65646404912482248</v>
      </c>
      <c r="S172" s="275">
        <f t="shared" si="38"/>
        <v>0</v>
      </c>
      <c r="T172" s="275">
        <f t="shared" si="38"/>
        <v>-0.65646404912482248</v>
      </c>
      <c r="U172" s="275">
        <f t="shared" si="38"/>
        <v>-0.65646404912482248</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2.6256278709923713</v>
      </c>
      <c r="K173" s="276">
        <f t="shared" si="39"/>
        <v>2.6256278709923713</v>
      </c>
      <c r="L173" s="276">
        <f t="shared" si="39"/>
        <v>2.3794057136324103</v>
      </c>
      <c r="M173" s="276">
        <f t="shared" si="39"/>
        <v>2.3794057136324103</v>
      </c>
      <c r="N173" s="276">
        <f t="shared" si="39"/>
        <v>1.7519787612635493</v>
      </c>
      <c r="O173" s="276">
        <f t="shared" si="39"/>
        <v>0</v>
      </c>
      <c r="P173" s="276">
        <f t="shared" si="39"/>
        <v>0</v>
      </c>
      <c r="Q173" s="276">
        <f t="shared" si="39"/>
        <v>5.1574862947534275</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6.9291353972251904E-2</v>
      </c>
      <c r="K183" s="275">
        <f t="shared" si="42"/>
        <v>6.9291353972251904E-2</v>
      </c>
      <c r="L183" s="275">
        <f t="shared" si="42"/>
        <v>6.2793454231801521E-2</v>
      </c>
      <c r="M183" s="275">
        <f t="shared" si="42"/>
        <v>6.2793454231801521E-2</v>
      </c>
      <c r="N183" s="275">
        <f t="shared" si="42"/>
        <v>4.6235409762274242E-2</v>
      </c>
      <c r="O183" s="275">
        <f t="shared" si="42"/>
        <v>4.5076119345382616E-2</v>
      </c>
      <c r="P183" s="275">
        <f t="shared" si="42"/>
        <v>4.0759283601507733E-2</v>
      </c>
      <c r="Q183" s="275">
        <f t="shared" si="42"/>
        <v>8.764979187235912E-2</v>
      </c>
      <c r="R183" s="275">
        <f t="shared" si="42"/>
        <v>-4.120411267702536E-2</v>
      </c>
      <c r="S183" s="275">
        <f t="shared" si="42"/>
        <v>-4.0621585165097576E-2</v>
      </c>
      <c r="T183" s="275">
        <f t="shared" si="42"/>
        <v>-4.120411267702536E-2</v>
      </c>
      <c r="U183" s="275">
        <f t="shared" si="42"/>
        <v>-4.120411267702536E-2</v>
      </c>
      <c r="V183" s="275">
        <f t="shared" si="42"/>
        <v>-4.0621585165097576E-2</v>
      </c>
      <c r="W183" s="275">
        <f t="shared" si="42"/>
        <v>-4.0621585165097576E-2</v>
      </c>
      <c r="X183" s="275">
        <f t="shared" si="42"/>
        <v>-4.0116727988093487E-2</v>
      </c>
      <c r="Y183" s="275">
        <f t="shared" si="42"/>
        <v>-4.0116727988093487E-2</v>
      </c>
      <c r="Z183" s="267"/>
      <c r="AA183" s="267"/>
    </row>
    <row r="184" spans="4:27" x14ac:dyDescent="0.3">
      <c r="E184" s="32"/>
      <c r="F184" s="191" t="s">
        <v>193</v>
      </c>
      <c r="G184" t="s">
        <v>269</v>
      </c>
      <c r="H184" s="267"/>
      <c r="I184" s="267"/>
      <c r="J184" s="275">
        <f t="shared" ref="J184:Y184" si="43">hundred * $H21 * J58 / $H46 * J96 * (1 - J70) / hours_in_year</f>
        <v>9.8258657170572968E-3</v>
      </c>
      <c r="K184" s="275">
        <f t="shared" si="43"/>
        <v>9.8258657170572968E-3</v>
      </c>
      <c r="L184" s="275">
        <f t="shared" si="43"/>
        <v>8.9044305504399016E-3</v>
      </c>
      <c r="M184" s="275">
        <f t="shared" si="43"/>
        <v>8.9044305504399016E-3</v>
      </c>
      <c r="N184" s="275">
        <f t="shared" si="43"/>
        <v>6.5564157958171061E-3</v>
      </c>
      <c r="O184" s="275">
        <f t="shared" si="43"/>
        <v>6.3920225301290082E-3</v>
      </c>
      <c r="P184" s="275">
        <f t="shared" si="43"/>
        <v>1.9073581920803979E-3</v>
      </c>
      <c r="Q184" s="275">
        <f t="shared" si="43"/>
        <v>1.2429185398956228E-2</v>
      </c>
      <c r="R184" s="275">
        <f t="shared" si="43"/>
        <v>-5.8429523302009692E-3</v>
      </c>
      <c r="S184" s="275">
        <f t="shared" si="43"/>
        <v>-5.7603469720925683E-3</v>
      </c>
      <c r="T184" s="275">
        <f t="shared" si="43"/>
        <v>-5.8429523302009692E-3</v>
      </c>
      <c r="U184" s="275">
        <f t="shared" si="43"/>
        <v>-5.8429523302009692E-3</v>
      </c>
      <c r="V184" s="275">
        <f t="shared" si="43"/>
        <v>-5.7603469720925683E-3</v>
      </c>
      <c r="W184" s="275">
        <f t="shared" si="43"/>
        <v>-5.7603469720925683E-3</v>
      </c>
      <c r="X184" s="275">
        <f t="shared" si="43"/>
        <v>-1.8772893683715441E-3</v>
      </c>
      <c r="Y184" s="275">
        <f t="shared" si="43"/>
        <v>-1.8772893683715441E-3</v>
      </c>
      <c r="Z184" s="267"/>
      <c r="AA184" s="267"/>
    </row>
    <row r="185" spans="4:27" x14ac:dyDescent="0.3">
      <c r="E185" s="32"/>
      <c r="F185" s="191" t="s">
        <v>194</v>
      </c>
      <c r="G185" t="s">
        <v>269</v>
      </c>
      <c r="H185" s="267"/>
      <c r="I185" s="267"/>
      <c r="J185" s="275">
        <f t="shared" ref="J185:Y185" si="44">hundred * $H22 * J59 / $H47 * J97 * (1 - J71) / hours_in_year</f>
        <v>7.2146310412662909E-2</v>
      </c>
      <c r="K185" s="275">
        <f t="shared" si="44"/>
        <v>7.2146310412662909E-2</v>
      </c>
      <c r="L185" s="275">
        <f t="shared" si="44"/>
        <v>6.5380682887291874E-2</v>
      </c>
      <c r="M185" s="275">
        <f t="shared" si="44"/>
        <v>6.5380682887291874E-2</v>
      </c>
      <c r="N185" s="275">
        <f t="shared" si="44"/>
        <v>4.8140410506359956E-2</v>
      </c>
      <c r="O185" s="275">
        <f t="shared" si="44"/>
        <v>4.6933354770243421E-2</v>
      </c>
      <c r="P185" s="275">
        <f t="shared" si="44"/>
        <v>1.400475644146903E-2</v>
      </c>
      <c r="Q185" s="275">
        <f t="shared" si="44"/>
        <v>6.9744972809447248E-2</v>
      </c>
      <c r="R185" s="275">
        <f t="shared" si="44"/>
        <v>-4.2901812896677619E-2</v>
      </c>
      <c r="S185" s="275">
        <f t="shared" si="44"/>
        <v>-4.229528396788388E-2</v>
      </c>
      <c r="T185" s="275">
        <f t="shared" si="44"/>
        <v>-4.2901812896677619E-2</v>
      </c>
      <c r="U185" s="275">
        <f t="shared" si="44"/>
        <v>-4.2901812896677619E-2</v>
      </c>
      <c r="V185" s="275">
        <f t="shared" si="44"/>
        <v>-4.229528396788388E-2</v>
      </c>
      <c r="W185" s="275">
        <f t="shared" si="44"/>
        <v>-4.229528396788388E-2</v>
      </c>
      <c r="X185" s="275">
        <f t="shared" si="44"/>
        <v>-1.3783976435766664E-2</v>
      </c>
      <c r="Y185" s="275">
        <f t="shared" si="44"/>
        <v>-1.3783976435766664E-2</v>
      </c>
      <c r="Z185" s="267"/>
      <c r="AA185" s="267"/>
    </row>
    <row r="186" spans="4:27" x14ac:dyDescent="0.3">
      <c r="E186" s="32"/>
      <c r="F186" s="191" t="s">
        <v>195</v>
      </c>
      <c r="G186" t="s">
        <v>269</v>
      </c>
      <c r="H186" s="267"/>
      <c r="I186" s="267"/>
      <c r="J186" s="275">
        <f t="shared" ref="J186:Y186" si="45">hundred * $H23 * J60 / $H48 * J98 * (1 - J72) / hours_in_year</f>
        <v>1.3219383231235008E-2</v>
      </c>
      <c r="K186" s="275">
        <f t="shared" si="45"/>
        <v>1.3219383231235008E-2</v>
      </c>
      <c r="L186" s="275">
        <f t="shared" si="45"/>
        <v>1.1979715914277191E-2</v>
      </c>
      <c r="M186" s="275">
        <f t="shared" si="45"/>
        <v>1.1979715914277191E-2</v>
      </c>
      <c r="N186" s="275">
        <f t="shared" si="45"/>
        <v>8.8207772754079431E-3</v>
      </c>
      <c r="O186" s="275">
        <f t="shared" si="45"/>
        <v>8.5996082056950668E-3</v>
      </c>
      <c r="P186" s="275">
        <f t="shared" si="45"/>
        <v>0</v>
      </c>
      <c r="Q186" s="275">
        <f t="shared" si="45"/>
        <v>1.2779385650445188E-2</v>
      </c>
      <c r="R186" s="275">
        <f t="shared" si="45"/>
        <v>-7.8609079626112115E-3</v>
      </c>
      <c r="S186" s="275">
        <f t="shared" si="45"/>
        <v>-7.7497735427816475E-3</v>
      </c>
      <c r="T186" s="275">
        <f t="shared" si="45"/>
        <v>-7.8609079626112115E-3</v>
      </c>
      <c r="U186" s="275">
        <f t="shared" si="45"/>
        <v>-7.8609079626112115E-3</v>
      </c>
      <c r="V186" s="275">
        <f t="shared" si="45"/>
        <v>-7.7497735427816475E-3</v>
      </c>
      <c r="W186" s="275">
        <f t="shared" si="45"/>
        <v>-7.7497735427816475E-3</v>
      </c>
      <c r="X186" s="275">
        <f t="shared" si="45"/>
        <v>0</v>
      </c>
      <c r="Y186" s="275">
        <f t="shared" si="45"/>
        <v>0</v>
      </c>
      <c r="Z186" s="267"/>
      <c r="AA186" s="267"/>
    </row>
    <row r="187" spans="4:27" x14ac:dyDescent="0.3">
      <c r="E187" s="32"/>
      <c r="F187" s="191" t="s">
        <v>196</v>
      </c>
      <c r="G187" t="s">
        <v>269</v>
      </c>
      <c r="H187" s="267"/>
      <c r="I187" s="267"/>
      <c r="J187" s="275">
        <f t="shared" ref="J187:Y187" si="46">hundred * $H24 * J61 / $H49 * J99 * (1 - J73) / hours_in_year</f>
        <v>0</v>
      </c>
      <c r="K187" s="275">
        <f t="shared" si="46"/>
        <v>0</v>
      </c>
      <c r="L187" s="275">
        <f t="shared" si="46"/>
        <v>0</v>
      </c>
      <c r="M187" s="275">
        <f t="shared" si="46"/>
        <v>0</v>
      </c>
      <c r="N187" s="275">
        <f t="shared" si="46"/>
        <v>0</v>
      </c>
      <c r="O187" s="275">
        <f t="shared" si="46"/>
        <v>0</v>
      </c>
      <c r="P187" s="275">
        <f t="shared" si="46"/>
        <v>0</v>
      </c>
      <c r="Q187" s="275">
        <f t="shared" si="46"/>
        <v>0</v>
      </c>
      <c r="R187" s="275">
        <f t="shared" si="46"/>
        <v>0</v>
      </c>
      <c r="S187" s="275">
        <f t="shared" si="46"/>
        <v>0</v>
      </c>
      <c r="T187" s="275">
        <f t="shared" si="46"/>
        <v>0</v>
      </c>
      <c r="U187" s="275">
        <f t="shared" si="46"/>
        <v>0</v>
      </c>
      <c r="V187" s="275">
        <f t="shared" si="46"/>
        <v>0</v>
      </c>
      <c r="W187" s="275">
        <f t="shared" si="46"/>
        <v>0</v>
      </c>
      <c r="X187" s="275">
        <f t="shared" si="46"/>
        <v>0</v>
      </c>
      <c r="Y187" s="275">
        <f t="shared" si="46"/>
        <v>0</v>
      </c>
      <c r="Z187" s="267"/>
      <c r="AA187" s="267"/>
    </row>
    <row r="188" spans="4:27" x14ac:dyDescent="0.3">
      <c r="E188" s="32"/>
      <c r="F188" s="191" t="s">
        <v>197</v>
      </c>
      <c r="G188" t="s">
        <v>269</v>
      </c>
      <c r="H188" s="267"/>
      <c r="I188" s="267"/>
      <c r="J188" s="275">
        <f t="shared" ref="J188:Y188" si="47">hundred * $H25 * J62 / $H50 * J100 * (1 - J74) / hours_in_year</f>
        <v>5.0735152545844625E-2</v>
      </c>
      <c r="K188" s="275">
        <f t="shared" si="47"/>
        <v>5.0735152545844625E-2</v>
      </c>
      <c r="L188" s="275">
        <f t="shared" si="47"/>
        <v>4.5977388183333065E-2</v>
      </c>
      <c r="M188" s="275">
        <f t="shared" si="47"/>
        <v>4.5977388183333065E-2</v>
      </c>
      <c r="N188" s="275">
        <f t="shared" si="47"/>
        <v>3.3853582486611383E-2</v>
      </c>
      <c r="O188" s="275">
        <f t="shared" si="47"/>
        <v>3.3004749655757969E-2</v>
      </c>
      <c r="P188" s="275">
        <f t="shared" si="47"/>
        <v>0</v>
      </c>
      <c r="Q188" s="275">
        <f t="shared" si="47"/>
        <v>4.904646979940392E-2</v>
      </c>
      <c r="R188" s="275">
        <f t="shared" si="47"/>
        <v>-3.0169665078592676E-2</v>
      </c>
      <c r="S188" s="275">
        <f t="shared" si="47"/>
        <v>-2.9743138239592782E-2</v>
      </c>
      <c r="T188" s="275">
        <f t="shared" si="47"/>
        <v>-3.0169665078592676E-2</v>
      </c>
      <c r="U188" s="275">
        <f t="shared" si="47"/>
        <v>-3.0169665078592676E-2</v>
      </c>
      <c r="V188" s="275">
        <f t="shared" si="47"/>
        <v>-2.9743138239592782E-2</v>
      </c>
      <c r="W188" s="275">
        <f t="shared" si="47"/>
        <v>-2.9743138239592782E-2</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5.7831264353731121E-3</v>
      </c>
      <c r="K189" s="275">
        <f t="shared" si="48"/>
        <v>5.7831264353731121E-3</v>
      </c>
      <c r="L189" s="275">
        <f t="shared" si="48"/>
        <v>5.2408051556005883E-3</v>
      </c>
      <c r="M189" s="275">
        <f t="shared" si="48"/>
        <v>5.2408051556005883E-3</v>
      </c>
      <c r="N189" s="275">
        <f t="shared" si="48"/>
        <v>3.8588540289397734E-3</v>
      </c>
      <c r="O189" s="275">
        <f t="shared" si="48"/>
        <v>3.7620984790498776E-3</v>
      </c>
      <c r="P189" s="275">
        <f t="shared" si="48"/>
        <v>0</v>
      </c>
      <c r="Q189" s="275">
        <f t="shared" si="48"/>
        <v>5.5906392673671585E-3</v>
      </c>
      <c r="R189" s="275">
        <f t="shared" si="48"/>
        <v>-3.4389368890673099E-3</v>
      </c>
      <c r="S189" s="275">
        <f t="shared" si="48"/>
        <v>0</v>
      </c>
      <c r="T189" s="275">
        <f t="shared" si="48"/>
        <v>-3.4389368890673099E-3</v>
      </c>
      <c r="U189" s="275">
        <f t="shared" si="48"/>
        <v>-3.4389368890673099E-3</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1.3754551455721922E-2</v>
      </c>
      <c r="K190" s="276">
        <f t="shared" si="49"/>
        <v>1.3754551455721922E-2</v>
      </c>
      <c r="L190" s="276">
        <f t="shared" si="49"/>
        <v>1.2464697942829998E-2</v>
      </c>
      <c r="M190" s="276">
        <f t="shared" si="49"/>
        <v>1.2464697942829998E-2</v>
      </c>
      <c r="N190" s="276">
        <f t="shared" si="49"/>
        <v>9.1778740953201345E-3</v>
      </c>
      <c r="O190" s="276">
        <f t="shared" si="49"/>
        <v>0</v>
      </c>
      <c r="P190" s="276">
        <f t="shared" si="49"/>
        <v>0</v>
      </c>
      <c r="Q190" s="276">
        <f t="shared" si="49"/>
        <v>1.329674118882028E-2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2.3055675731890875E-2</v>
      </c>
      <c r="K193" s="274">
        <f t="shared" si="50"/>
        <v>2.3055675731890875E-2</v>
      </c>
      <c r="L193" s="274">
        <f t="shared" si="50"/>
        <v>2.0893595461181271E-2</v>
      </c>
      <c r="M193" s="274">
        <f t="shared" si="50"/>
        <v>2.0893595461181271E-2</v>
      </c>
      <c r="N193" s="274">
        <f t="shared" si="50"/>
        <v>1.5384150456014722E-2</v>
      </c>
      <c r="O193" s="274">
        <f t="shared" si="50"/>
        <v>1.499841367359241E-2</v>
      </c>
      <c r="P193" s="274">
        <f t="shared" si="50"/>
        <v>1.3562050269025783E-2</v>
      </c>
      <c r="Q193" s="274">
        <f t="shared" si="50"/>
        <v>4.2375764535762084E-2</v>
      </c>
      <c r="R193" s="274">
        <f t="shared" si="50"/>
        <v>-1.3710060581039E-2</v>
      </c>
      <c r="S193" s="274">
        <f t="shared" si="50"/>
        <v>-1.3516233145868795E-2</v>
      </c>
      <c r="T193" s="274">
        <f t="shared" si="50"/>
        <v>-1.3710060581039E-2</v>
      </c>
      <c r="U193" s="274">
        <f t="shared" si="50"/>
        <v>-1.3710060581039E-2</v>
      </c>
      <c r="V193" s="274">
        <f t="shared" si="50"/>
        <v>-1.3516233145868795E-2</v>
      </c>
      <c r="W193" s="274">
        <f t="shared" si="50"/>
        <v>-1.3516233145868795E-2</v>
      </c>
      <c r="X193" s="274">
        <f t="shared" si="50"/>
        <v>-1.3348249368721286E-2</v>
      </c>
      <c r="Y193" s="274">
        <f t="shared" si="50"/>
        <v>-1.3348249368721286E-2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5.5070056004560074E-2</v>
      </c>
      <c r="K195" s="275">
        <f t="shared" si="52"/>
        <v>5.5070056004560074E-2</v>
      </c>
      <c r="L195" s="275">
        <f t="shared" si="52"/>
        <v>4.9905779625115713E-2</v>
      </c>
      <c r="M195" s="275">
        <f t="shared" si="52"/>
        <v>4.9905779625115713E-2</v>
      </c>
      <c r="N195" s="275">
        <f t="shared" si="52"/>
        <v>3.6746093979082295E-2</v>
      </c>
      <c r="O195" s="275">
        <f t="shared" si="52"/>
        <v>3.5824735331518025E-2</v>
      </c>
      <c r="P195" s="275">
        <f t="shared" si="52"/>
        <v>3.2393883247535428E-2</v>
      </c>
      <c r="Q195" s="275">
        <f t="shared" si="52"/>
        <v>6.9660623880026959E-2</v>
      </c>
      <c r="R195" s="275">
        <f t="shared" si="52"/>
        <v>-3.2747415985703916E-2</v>
      </c>
      <c r="S195" s="275">
        <f t="shared" si="52"/>
        <v>-3.2284445919930536E-2</v>
      </c>
      <c r="T195" s="275">
        <f t="shared" si="52"/>
        <v>-3.2747415985703916E-2</v>
      </c>
      <c r="U195" s="275">
        <f t="shared" si="52"/>
        <v>-3.2747415985703916E-2</v>
      </c>
      <c r="V195" s="275">
        <f t="shared" si="52"/>
        <v>-3.2284445919930536E-2</v>
      </c>
      <c r="W195" s="275">
        <f t="shared" si="52"/>
        <v>-3.2284445919930536E-2</v>
      </c>
      <c r="X195" s="275">
        <f t="shared" si="52"/>
        <v>-3.188320519626027E-2</v>
      </c>
      <c r="Y195" s="275">
        <f t="shared" si="52"/>
        <v>-3.188320519626027E-2</v>
      </c>
      <c r="Z195" s="267"/>
      <c r="AA195" s="267"/>
    </row>
    <row r="196" spans="3:27" x14ac:dyDescent="0.3">
      <c r="D196" s="32"/>
      <c r="E196" s="32"/>
      <c r="F196" s="191" t="s">
        <v>193</v>
      </c>
      <c r="G196" t="s">
        <v>269</v>
      </c>
      <c r="H196" s="267"/>
      <c r="I196" s="267"/>
      <c r="J196" s="275">
        <f t="shared" ref="J196:Y196" si="53">hundred * $H33 * J58 / $H46 * J96 / hours_in_year</f>
        <v>7.8092134777496651E-3</v>
      </c>
      <c r="K196" s="275">
        <f t="shared" si="53"/>
        <v>7.8092134777496651E-3</v>
      </c>
      <c r="L196" s="275">
        <f t="shared" si="53"/>
        <v>7.0768928732120248E-3</v>
      </c>
      <c r="M196" s="275">
        <f t="shared" si="53"/>
        <v>7.0768928732120248E-3</v>
      </c>
      <c r="N196" s="275">
        <f t="shared" si="53"/>
        <v>5.2107826498731672E-3</v>
      </c>
      <c r="O196" s="275">
        <f t="shared" si="53"/>
        <v>5.0801293168203678E-3</v>
      </c>
      <c r="P196" s="275">
        <f t="shared" si="53"/>
        <v>4.5936170762629243E-3</v>
      </c>
      <c r="Q196" s="275">
        <f t="shared" si="53"/>
        <v>9.8782300643985403E-3</v>
      </c>
      <c r="R196" s="275">
        <f t="shared" si="53"/>
        <v>-4.6437498130718806E-3</v>
      </c>
      <c r="S196" s="275">
        <f t="shared" si="53"/>
        <v>-4.5780983077032865E-3</v>
      </c>
      <c r="T196" s="275">
        <f t="shared" si="53"/>
        <v>-4.6437498130718806E-3</v>
      </c>
      <c r="U196" s="275">
        <f t="shared" si="53"/>
        <v>-4.6437498130718806E-3</v>
      </c>
      <c r="V196" s="275">
        <f t="shared" si="53"/>
        <v>-4.5780983077032865E-3</v>
      </c>
      <c r="W196" s="275">
        <f t="shared" si="53"/>
        <v>-4.5780983077032865E-3</v>
      </c>
      <c r="X196" s="275">
        <f t="shared" si="53"/>
        <v>-4.5212003363838378E-3</v>
      </c>
      <c r="Y196" s="275">
        <f t="shared" si="53"/>
        <v>-4.5212003363838378E-3</v>
      </c>
      <c r="Z196" s="267"/>
      <c r="AA196" s="267"/>
    </row>
    <row r="197" spans="3:27" x14ac:dyDescent="0.3">
      <c r="D197" s="32"/>
      <c r="E197" s="32"/>
      <c r="F197" s="191" t="s">
        <v>194</v>
      </c>
      <c r="G197" t="s">
        <v>269</v>
      </c>
      <c r="H197" s="267"/>
      <c r="I197" s="267"/>
      <c r="J197" s="275">
        <f t="shared" ref="J197:Y197" si="54">hundred * $H34 * J59 / $H47 * J97 / hours_in_year</f>
        <v>5.733906363756109E-2</v>
      </c>
      <c r="K197" s="275">
        <f t="shared" si="54"/>
        <v>5.733906363756109E-2</v>
      </c>
      <c r="L197" s="275">
        <f t="shared" si="54"/>
        <v>5.1962007693793867E-2</v>
      </c>
      <c r="M197" s="275">
        <f t="shared" si="54"/>
        <v>5.1962007693793867E-2</v>
      </c>
      <c r="N197" s="275">
        <f t="shared" si="54"/>
        <v>3.8260114006855771E-2</v>
      </c>
      <c r="O197" s="275">
        <f t="shared" si="54"/>
        <v>3.7300793353153679E-2</v>
      </c>
      <c r="P197" s="275">
        <f t="shared" si="54"/>
        <v>3.372858260475263E-2</v>
      </c>
      <c r="Q197" s="275">
        <f t="shared" si="54"/>
        <v>5.5430574501270015E-2</v>
      </c>
      <c r="R197" s="275">
        <f t="shared" si="54"/>
        <v>-3.4096681670606595E-2</v>
      </c>
      <c r="S197" s="275">
        <f t="shared" si="54"/>
        <v>-3.3614636218147496E-2</v>
      </c>
      <c r="T197" s="275">
        <f t="shared" si="54"/>
        <v>-3.4096681670606595E-2</v>
      </c>
      <c r="U197" s="275">
        <f t="shared" si="54"/>
        <v>-3.4096681670606595E-2</v>
      </c>
      <c r="V197" s="275">
        <f t="shared" si="54"/>
        <v>-3.3614636218147496E-2</v>
      </c>
      <c r="W197" s="275">
        <f t="shared" si="54"/>
        <v>-3.3614636218147496E-2</v>
      </c>
      <c r="X197" s="275">
        <f t="shared" si="54"/>
        <v>-3.319686349268295E-2</v>
      </c>
      <c r="Y197" s="275">
        <f t="shared" si="54"/>
        <v>-3.319686349268295E-2</v>
      </c>
      <c r="Z197" s="267"/>
      <c r="AA197" s="267"/>
    </row>
    <row r="198" spans="3:27" x14ac:dyDescent="0.3">
      <c r="D198" s="32"/>
      <c r="E198" s="32"/>
      <c r="F198" s="191" t="s">
        <v>195</v>
      </c>
      <c r="G198" t="s">
        <v>269</v>
      </c>
      <c r="H198" s="267"/>
      <c r="I198" s="267"/>
      <c r="J198" s="275">
        <f t="shared" ref="J198:Y198" si="55">hundred * $H35 * J60 / $H48 * J98 / hours_in_year</f>
        <v>5.5296044065072582E-2</v>
      </c>
      <c r="K198" s="275">
        <f t="shared" si="55"/>
        <v>5.5296044065072582E-2</v>
      </c>
      <c r="L198" s="275">
        <f t="shared" si="55"/>
        <v>5.0110575319256841E-2</v>
      </c>
      <c r="M198" s="275">
        <f t="shared" si="55"/>
        <v>5.0110575319256841E-2</v>
      </c>
      <c r="N198" s="275">
        <f t="shared" si="55"/>
        <v>3.6896886970995288E-2</v>
      </c>
      <c r="O198" s="275">
        <f t="shared" si="55"/>
        <v>3.5971747392941629E-2</v>
      </c>
      <c r="P198" s="275">
        <f t="shared" si="55"/>
        <v>3.2526816303695257E-2</v>
      </c>
      <c r="Q198" s="275">
        <f t="shared" si="55"/>
        <v>5.345555535313392E-2</v>
      </c>
      <c r="R198" s="275">
        <f t="shared" si="55"/>
        <v>-3.2881799815362503E-2</v>
      </c>
      <c r="S198" s="275">
        <f t="shared" si="55"/>
        <v>-3.2416929883948328E-2</v>
      </c>
      <c r="T198" s="275">
        <f t="shared" si="55"/>
        <v>-3.2881799815362503E-2</v>
      </c>
      <c r="U198" s="275">
        <f t="shared" si="55"/>
        <v>-3.2881799815362503E-2</v>
      </c>
      <c r="V198" s="275">
        <f t="shared" si="55"/>
        <v>-3.2416929883948328E-2</v>
      </c>
      <c r="W198" s="275">
        <f t="shared" si="55"/>
        <v>-3.2416929883948328E-2</v>
      </c>
      <c r="X198" s="275">
        <f t="shared" si="55"/>
        <v>-3.2014042610056047E-2</v>
      </c>
      <c r="Y198" s="275">
        <f t="shared" si="55"/>
        <v>-3.2014042610056047E-2</v>
      </c>
      <c r="Z198" s="267"/>
      <c r="AA198" s="267"/>
    </row>
    <row r="199" spans="3:27" x14ac:dyDescent="0.3">
      <c r="D199" s="32"/>
      <c r="E199" s="32"/>
      <c r="F199" s="191" t="s">
        <v>196</v>
      </c>
      <c r="G199" t="s">
        <v>269</v>
      </c>
      <c r="H199" s="267"/>
      <c r="I199" s="267"/>
      <c r="J199" s="275">
        <f t="shared" ref="J199:Y199" si="56">hundred * $H36 * J61 / $H49 * J99 / hours_in_year</f>
        <v>0</v>
      </c>
      <c r="K199" s="275">
        <f t="shared" si="56"/>
        <v>0</v>
      </c>
      <c r="L199" s="275">
        <f t="shared" si="56"/>
        <v>0</v>
      </c>
      <c r="M199" s="275">
        <f t="shared" si="56"/>
        <v>0</v>
      </c>
      <c r="N199" s="275">
        <f t="shared" si="56"/>
        <v>0</v>
      </c>
      <c r="O199" s="275">
        <f t="shared" si="56"/>
        <v>0</v>
      </c>
      <c r="P199" s="275">
        <f t="shared" si="56"/>
        <v>0</v>
      </c>
      <c r="Q199" s="275">
        <f t="shared" si="56"/>
        <v>0</v>
      </c>
      <c r="R199" s="275">
        <f t="shared" si="56"/>
        <v>0</v>
      </c>
      <c r="S199" s="275">
        <f t="shared" si="56"/>
        <v>0</v>
      </c>
      <c r="T199" s="275">
        <f t="shared" si="56"/>
        <v>0</v>
      </c>
      <c r="U199" s="275">
        <f t="shared" si="56"/>
        <v>0</v>
      </c>
      <c r="V199" s="275">
        <f t="shared" si="56"/>
        <v>0</v>
      </c>
      <c r="W199" s="275">
        <f t="shared" si="56"/>
        <v>0</v>
      </c>
      <c r="X199" s="275">
        <f t="shared" si="56"/>
        <v>0</v>
      </c>
      <c r="Y199" s="275">
        <f t="shared" si="56"/>
        <v>0</v>
      </c>
      <c r="Z199" s="267"/>
      <c r="AA199" s="267"/>
    </row>
    <row r="200" spans="3:27" x14ac:dyDescent="0.3">
      <c r="D200" s="32"/>
      <c r="E200" s="32"/>
      <c r="F200" s="191" t="s">
        <v>197</v>
      </c>
      <c r="G200" t="s">
        <v>269</v>
      </c>
      <c r="H200" s="267"/>
      <c r="I200" s="267"/>
      <c r="J200" s="275">
        <f t="shared" ref="J200:Y200" si="57">hundred * $H37 * J62 / $H50 * J100 / hours_in_year</f>
        <v>0.21222270220553296</v>
      </c>
      <c r="K200" s="275">
        <f t="shared" si="57"/>
        <v>0.21222270220553296</v>
      </c>
      <c r="L200" s="275">
        <f t="shared" si="57"/>
        <v>0.1923212027755862</v>
      </c>
      <c r="M200" s="275">
        <f t="shared" si="57"/>
        <v>0.1923212027755862</v>
      </c>
      <c r="N200" s="275">
        <f t="shared" si="57"/>
        <v>0.14160790682859609</v>
      </c>
      <c r="O200" s="275">
        <f t="shared" si="57"/>
        <v>0.13805727993491113</v>
      </c>
      <c r="P200" s="275">
        <f t="shared" si="57"/>
        <v>0.12483585339287204</v>
      </c>
      <c r="Q200" s="275">
        <f t="shared" si="57"/>
        <v>0.20515902352054871</v>
      </c>
      <c r="R200" s="275">
        <f t="shared" si="57"/>
        <v>-0.12619825754597522</v>
      </c>
      <c r="S200" s="275">
        <f t="shared" si="57"/>
        <v>-0.12441411629885965</v>
      </c>
      <c r="T200" s="275">
        <f t="shared" si="57"/>
        <v>-0.12619825754597522</v>
      </c>
      <c r="U200" s="275">
        <f t="shared" si="57"/>
        <v>-0.12619825754597522</v>
      </c>
      <c r="V200" s="275">
        <f t="shared" si="57"/>
        <v>-0.12441411629885965</v>
      </c>
      <c r="W200" s="275">
        <f t="shared" si="57"/>
        <v>-0.12441411629885965</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9.1924050670155702E-2</v>
      </c>
      <c r="K201" s="275">
        <f t="shared" si="58"/>
        <v>9.1924050670155702E-2</v>
      </c>
      <c r="L201" s="275">
        <f t="shared" si="58"/>
        <v>8.3303736146788918E-2</v>
      </c>
      <c r="M201" s="275">
        <f t="shared" si="58"/>
        <v>8.3303736146788918E-2</v>
      </c>
      <c r="N201" s="275">
        <f t="shared" si="58"/>
        <v>6.1337322856249911E-2</v>
      </c>
      <c r="O201" s="275">
        <f t="shared" si="58"/>
        <v>5.9799372377371311E-2</v>
      </c>
      <c r="P201" s="275">
        <f t="shared" si="58"/>
        <v>0</v>
      </c>
      <c r="Q201" s="275">
        <f t="shared" si="58"/>
        <v>8.8864425330321253E-2</v>
      </c>
      <c r="R201" s="275">
        <f t="shared" si="58"/>
        <v>-5.4662648720336299E-2</v>
      </c>
      <c r="S201" s="275">
        <f t="shared" si="58"/>
        <v>0</v>
      </c>
      <c r="T201" s="275">
        <f t="shared" si="58"/>
        <v>-5.4662648720336299E-2</v>
      </c>
      <c r="U201" s="275">
        <f t="shared" si="58"/>
        <v>-5.4662648720336299E-2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0.21863158260337628</v>
      </c>
      <c r="K202" s="276">
        <f t="shared" si="59"/>
        <v>0.21863158260337628</v>
      </c>
      <c r="L202" s="276">
        <f t="shared" si="59"/>
        <v>0.19812908088546152</v>
      </c>
      <c r="M202" s="276">
        <f t="shared" si="59"/>
        <v>0.19812908088546152</v>
      </c>
      <c r="N202" s="276">
        <f t="shared" si="59"/>
        <v>0.1458843019966044</v>
      </c>
      <c r="O202" s="276">
        <f t="shared" si="59"/>
        <v>0</v>
      </c>
      <c r="P202" s="276">
        <f t="shared" si="59"/>
        <v>0</v>
      </c>
      <c r="Q202" s="276">
        <f t="shared" si="59"/>
        <v>0.21135458898370132</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6.9738286875721759E-3</v>
      </c>
      <c r="K212" s="275">
        <f t="shared" si="62"/>
        <v>6.9738286875721759E-3</v>
      </c>
      <c r="L212" s="275">
        <f t="shared" si="62"/>
        <v>6.319847533775306E-3</v>
      </c>
      <c r="M212" s="275">
        <f t="shared" si="62"/>
        <v>6.319847533775306E-3</v>
      </c>
      <c r="N212" s="275">
        <f t="shared" si="62"/>
        <v>4.6533630604321105E-3</v>
      </c>
      <c r="O212" s="275">
        <f t="shared" si="62"/>
        <v>4.5366862702833147E-3</v>
      </c>
      <c r="P212" s="275">
        <f t="shared" si="62"/>
        <v>4.1022183139748369E-3</v>
      </c>
      <c r="Q212" s="275">
        <f t="shared" si="62"/>
        <v>5.2217857920908032E-3</v>
      </c>
      <c r="R212" s="275">
        <f t="shared" si="62"/>
        <v>-4.1469881386365596E-3</v>
      </c>
      <c r="S212" s="275">
        <f t="shared" si="62"/>
        <v>-4.088359654112951E-3</v>
      </c>
      <c r="T212" s="275">
        <f t="shared" si="62"/>
        <v>-4.1469881386365596E-3</v>
      </c>
      <c r="U212" s="275">
        <f t="shared" si="62"/>
        <v>-4.1469881386365596E-3</v>
      </c>
      <c r="V212" s="275">
        <f t="shared" si="62"/>
        <v>-4.088359654112951E-3</v>
      </c>
      <c r="W212" s="275">
        <f t="shared" si="62"/>
        <v>-4.088359654112951E-3</v>
      </c>
      <c r="X212" s="275">
        <f t="shared" si="62"/>
        <v>-4.0375483008591563E-3</v>
      </c>
      <c r="Y212" s="275">
        <f t="shared" si="62"/>
        <v>-4.0375483008591563E-3</v>
      </c>
      <c r="Z212" s="267"/>
      <c r="AA212" s="267"/>
    </row>
    <row r="213" spans="3:27" x14ac:dyDescent="0.3">
      <c r="E213" s="32"/>
      <c r="F213" s="191" t="s">
        <v>193</v>
      </c>
      <c r="G213" t="s">
        <v>269</v>
      </c>
      <c r="H213" s="267"/>
      <c r="I213" s="267"/>
      <c r="J213" s="275">
        <f t="shared" ref="J213:Y213" si="63">hundred * $H21 * J58 / $H46 * J108 * (1 - J70) / hours_in_year</f>
        <v>9.8892430714064123E-4</v>
      </c>
      <c r="K213" s="275">
        <f t="shared" si="63"/>
        <v>9.8892430714064123E-4</v>
      </c>
      <c r="L213" s="275">
        <f t="shared" si="63"/>
        <v>8.9618645991561025E-4</v>
      </c>
      <c r="M213" s="275">
        <f t="shared" si="63"/>
        <v>8.9618645991561025E-4</v>
      </c>
      <c r="N213" s="275">
        <f t="shared" si="63"/>
        <v>6.5987050249921293E-4</v>
      </c>
      <c r="O213" s="275">
        <f t="shared" si="63"/>
        <v>6.4332514140324646E-4</v>
      </c>
      <c r="P213" s="275">
        <f t="shared" si="63"/>
        <v>1.9196607534516894E-4</v>
      </c>
      <c r="Q213" s="275">
        <f t="shared" si="63"/>
        <v>7.4047573116941396E-4</v>
      </c>
      <c r="R213" s="275">
        <f t="shared" si="63"/>
        <v>-5.880639682230755E-4</v>
      </c>
      <c r="S213" s="275">
        <f t="shared" si="63"/>
        <v>-5.7975015151869654E-4</v>
      </c>
      <c r="T213" s="275">
        <f t="shared" si="63"/>
        <v>-5.880639682230755E-4</v>
      </c>
      <c r="U213" s="275">
        <f t="shared" si="63"/>
        <v>-5.880639682230755E-4</v>
      </c>
      <c r="V213" s="275">
        <f t="shared" si="63"/>
        <v>-5.7975015151869654E-4</v>
      </c>
      <c r="W213" s="275">
        <f t="shared" si="63"/>
        <v>-5.7975015151869654E-4</v>
      </c>
      <c r="X213" s="275">
        <f t="shared" si="63"/>
        <v>-1.8893979842371741E-4</v>
      </c>
      <c r="Y213" s="275">
        <f t="shared" si="63"/>
        <v>-1.8893979842371741E-4</v>
      </c>
      <c r="Z213" s="267"/>
      <c r="AA213" s="267"/>
    </row>
    <row r="214" spans="3:27" x14ac:dyDescent="0.3">
      <c r="E214" s="32"/>
      <c r="F214" s="191" t="s">
        <v>194</v>
      </c>
      <c r="G214" t="s">
        <v>269</v>
      </c>
      <c r="H214" s="267"/>
      <c r="I214" s="267"/>
      <c r="J214" s="275">
        <f t="shared" ref="J214:Y214" si="64">hundred * $H22 * J59 / $H47 * J109 * (1 - J71) / hours_in_year</f>
        <v>7.0380166169131926E-3</v>
      </c>
      <c r="K214" s="275">
        <f t="shared" si="64"/>
        <v>7.0380166169131926E-3</v>
      </c>
      <c r="L214" s="275">
        <f t="shared" si="64"/>
        <v>6.3780161446083889E-3</v>
      </c>
      <c r="M214" s="275">
        <f t="shared" si="64"/>
        <v>6.3780161446083889E-3</v>
      </c>
      <c r="N214" s="275">
        <f t="shared" si="64"/>
        <v>4.6961931545887676E-3</v>
      </c>
      <c r="O214" s="275">
        <f t="shared" si="64"/>
        <v>4.5784424577099215E-3</v>
      </c>
      <c r="P214" s="275">
        <f t="shared" si="64"/>
        <v>1.3661919505946231E-3</v>
      </c>
      <c r="Q214" s="275">
        <f t="shared" si="64"/>
        <v>5.2698477150993151E-3</v>
      </c>
      <c r="R214" s="275">
        <f t="shared" si="64"/>
        <v>-4.1851574991909985E-3</v>
      </c>
      <c r="S214" s="275">
        <f t="shared" si="64"/>
        <v>-4.1259893912853774E-3</v>
      </c>
      <c r="T214" s="275">
        <f t="shared" si="64"/>
        <v>-4.1851574991909985E-3</v>
      </c>
      <c r="U214" s="275">
        <f t="shared" si="64"/>
        <v>-4.1851574991909985E-3</v>
      </c>
      <c r="V214" s="275">
        <f t="shared" si="64"/>
        <v>-4.1259893912853774E-3</v>
      </c>
      <c r="W214" s="275">
        <f t="shared" si="64"/>
        <v>-4.1259893912853774E-3</v>
      </c>
      <c r="X214" s="275">
        <f t="shared" si="64"/>
        <v>-1.3446544202631663E-3</v>
      </c>
      <c r="Y214" s="275">
        <f t="shared" si="64"/>
        <v>-1.3446544202631663E-3</v>
      </c>
      <c r="Z214" s="267"/>
      <c r="AA214" s="267"/>
    </row>
    <row r="215" spans="3:27" x14ac:dyDescent="0.3">
      <c r="E215" s="32"/>
      <c r="F215" s="191" t="s">
        <v>195</v>
      </c>
      <c r="G215" t="s">
        <v>269</v>
      </c>
      <c r="H215" s="267"/>
      <c r="I215" s="267"/>
      <c r="J215" s="275">
        <f t="shared" ref="J215:Y215" si="65">hundred * $H23 * J60 / $H48 * J110 * (1 - J72) / hours_in_year</f>
        <v>1.2895772259816881E-3</v>
      </c>
      <c r="K215" s="275">
        <f t="shared" si="65"/>
        <v>1.2895772259816881E-3</v>
      </c>
      <c r="L215" s="275">
        <f t="shared" si="65"/>
        <v>1.1686452042845401E-3</v>
      </c>
      <c r="M215" s="275">
        <f t="shared" si="65"/>
        <v>1.1686452042845401E-3</v>
      </c>
      <c r="N215" s="275">
        <f t="shared" si="65"/>
        <v>8.6048443341483973E-4</v>
      </c>
      <c r="O215" s="275">
        <f t="shared" si="65"/>
        <v>8.3890894911241244E-4</v>
      </c>
      <c r="P215" s="275">
        <f t="shared" si="65"/>
        <v>0</v>
      </c>
      <c r="Q215" s="275">
        <f t="shared" si="65"/>
        <v>9.6559527601176919E-4</v>
      </c>
      <c r="R215" s="275">
        <f t="shared" si="65"/>
        <v>-7.6684726562499886E-4</v>
      </c>
      <c r="S215" s="275">
        <f t="shared" si="65"/>
        <v>-7.5600588109684167E-4</v>
      </c>
      <c r="T215" s="275">
        <f t="shared" si="65"/>
        <v>-7.6684726562499886E-4</v>
      </c>
      <c r="U215" s="275">
        <f t="shared" si="65"/>
        <v>-7.6684726562499886E-4</v>
      </c>
      <c r="V215" s="275">
        <f t="shared" si="65"/>
        <v>-7.5600588109684167E-4</v>
      </c>
      <c r="W215" s="275">
        <f t="shared" si="65"/>
        <v>-7.5600588109684167E-4</v>
      </c>
      <c r="X215" s="275">
        <f t="shared" si="65"/>
        <v>0</v>
      </c>
      <c r="Y215" s="275">
        <f t="shared" si="65"/>
        <v>0</v>
      </c>
      <c r="Z215" s="267"/>
      <c r="AA215" s="267"/>
    </row>
    <row r="216" spans="3:27" x14ac:dyDescent="0.3">
      <c r="E216" s="32"/>
      <c r="F216" s="191" t="s">
        <v>196</v>
      </c>
      <c r="G216" t="s">
        <v>269</v>
      </c>
      <c r="H216" s="267"/>
      <c r="I216" s="267"/>
      <c r="J216" s="275">
        <f t="shared" ref="J216:Y216" si="66">hundred * $H24 * J61 / $H49 * J111 * (1 - J73) / hours_in_year</f>
        <v>0</v>
      </c>
      <c r="K216" s="275">
        <f t="shared" si="66"/>
        <v>0</v>
      </c>
      <c r="L216" s="275">
        <f t="shared" si="66"/>
        <v>0</v>
      </c>
      <c r="M216" s="275">
        <f t="shared" si="66"/>
        <v>0</v>
      </c>
      <c r="N216" s="275">
        <f t="shared" si="66"/>
        <v>0</v>
      </c>
      <c r="O216" s="275">
        <f t="shared" si="66"/>
        <v>0</v>
      </c>
      <c r="P216" s="275">
        <f t="shared" si="66"/>
        <v>0</v>
      </c>
      <c r="Q216" s="275">
        <f t="shared" si="66"/>
        <v>0</v>
      </c>
      <c r="R216" s="275">
        <f t="shared" si="66"/>
        <v>0</v>
      </c>
      <c r="S216" s="275">
        <f t="shared" si="66"/>
        <v>0</v>
      </c>
      <c r="T216" s="275">
        <f t="shared" si="66"/>
        <v>0</v>
      </c>
      <c r="U216" s="275">
        <f t="shared" si="66"/>
        <v>0</v>
      </c>
      <c r="V216" s="275">
        <f t="shared" si="66"/>
        <v>0</v>
      </c>
      <c r="W216" s="275">
        <f t="shared" si="66"/>
        <v>0</v>
      </c>
      <c r="X216" s="275">
        <f t="shared" si="66"/>
        <v>0</v>
      </c>
      <c r="Y216" s="275">
        <f t="shared" si="66"/>
        <v>0</v>
      </c>
      <c r="Z216" s="267"/>
      <c r="AA216" s="267"/>
    </row>
    <row r="217" spans="3:27" x14ac:dyDescent="0.3">
      <c r="E217" s="32"/>
      <c r="F217" s="191" t="s">
        <v>197</v>
      </c>
      <c r="G217" t="s">
        <v>269</v>
      </c>
      <c r="H217" s="267"/>
      <c r="I217" s="267"/>
      <c r="J217" s="275">
        <f t="shared" ref="J217:Y217" si="67">hundred * $H25 * J62 / $H50 * J112 * (1 - J74) / hours_in_year</f>
        <v>4.9493154208008873E-3</v>
      </c>
      <c r="K217" s="275">
        <f t="shared" si="67"/>
        <v>4.9493154208008873E-3</v>
      </c>
      <c r="L217" s="275">
        <f t="shared" si="67"/>
        <v>4.4851860086218753E-3</v>
      </c>
      <c r="M217" s="275">
        <f t="shared" si="67"/>
        <v>4.4851860086218753E-3</v>
      </c>
      <c r="N217" s="275">
        <f t="shared" si="67"/>
        <v>3.3024845583925154E-3</v>
      </c>
      <c r="O217" s="275">
        <f t="shared" si="67"/>
        <v>3.2196792210945012E-3</v>
      </c>
      <c r="P217" s="275">
        <f t="shared" si="67"/>
        <v>0</v>
      </c>
      <c r="Q217" s="275">
        <f t="shared" si="67"/>
        <v>3.7058932908647689E-3</v>
      </c>
      <c r="R217" s="275">
        <f t="shared" si="67"/>
        <v>-2.9431110605009207E-3</v>
      </c>
      <c r="S217" s="275">
        <f t="shared" si="67"/>
        <v>-2.9015025158190041E-3</v>
      </c>
      <c r="T217" s="275">
        <f t="shared" si="67"/>
        <v>-2.9431110605009207E-3</v>
      </c>
      <c r="U217" s="275">
        <f t="shared" si="67"/>
        <v>-2.9431110605009207E-3</v>
      </c>
      <c r="V217" s="275">
        <f t="shared" si="67"/>
        <v>-2.9015025158190041E-3</v>
      </c>
      <c r="W217" s="275">
        <f t="shared" si="67"/>
        <v>-2.9015025158190041E-3</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5.6415552946588487E-4</v>
      </c>
      <c r="K218" s="275">
        <f t="shared" si="68"/>
        <v>5.6415552946588487E-4</v>
      </c>
      <c r="L218" s="275">
        <f t="shared" si="68"/>
        <v>5.1125100590933823E-4</v>
      </c>
      <c r="M218" s="275">
        <f t="shared" si="68"/>
        <v>5.1125100590933823E-4</v>
      </c>
      <c r="N218" s="275">
        <f t="shared" si="68"/>
        <v>3.7643891451382859E-4</v>
      </c>
      <c r="O218" s="275">
        <f t="shared" si="68"/>
        <v>3.6700021745491229E-4</v>
      </c>
      <c r="P218" s="275">
        <f t="shared" si="68"/>
        <v>0</v>
      </c>
      <c r="Q218" s="275">
        <f t="shared" si="68"/>
        <v>4.2242209556197006E-4</v>
      </c>
      <c r="R218" s="275">
        <f t="shared" si="68"/>
        <v>-3.3547515917769512E-4</v>
      </c>
      <c r="S218" s="275">
        <f t="shared" si="68"/>
        <v>0</v>
      </c>
      <c r="T218" s="275">
        <f t="shared" si="68"/>
        <v>-3.3547515917769512E-4</v>
      </c>
      <c r="U218" s="275">
        <f t="shared" si="68"/>
        <v>-3.3547515917769512E-4</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1.3417839547144401E-3</v>
      </c>
      <c r="K219" s="276">
        <f t="shared" si="69"/>
        <v>1.3417839547144401E-3</v>
      </c>
      <c r="L219" s="276">
        <f t="shared" si="69"/>
        <v>1.2159561694099286E-3</v>
      </c>
      <c r="M219" s="276">
        <f t="shared" si="69"/>
        <v>1.2159561694099286E-3</v>
      </c>
      <c r="N219" s="276">
        <f t="shared" si="69"/>
        <v>8.953199411215198E-4</v>
      </c>
      <c r="O219" s="276">
        <f t="shared" si="69"/>
        <v>0</v>
      </c>
      <c r="P219" s="276">
        <f t="shared" si="69"/>
        <v>0</v>
      </c>
      <c r="Q219" s="276">
        <f t="shared" si="69"/>
        <v>1.0046860490377882E-3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5.5425260782839079E-3</v>
      </c>
      <c r="K224" s="275">
        <f t="shared" si="72"/>
        <v>5.5425260782839079E-3</v>
      </c>
      <c r="L224" s="275">
        <f t="shared" si="72"/>
        <v>5.0227674547196647E-3</v>
      </c>
      <c r="M224" s="275">
        <f t="shared" si="72"/>
        <v>5.0227674547196647E-3</v>
      </c>
      <c r="N224" s="275">
        <f t="shared" si="72"/>
        <v>3.6983108231680457E-3</v>
      </c>
      <c r="O224" s="275">
        <f t="shared" si="72"/>
        <v>3.6055806772035221E-3</v>
      </c>
      <c r="P224" s="275">
        <f t="shared" si="72"/>
        <v>3.2602825510379403E-3</v>
      </c>
      <c r="Q224" s="275">
        <f t="shared" si="72"/>
        <v>4.1500709616586967E-3</v>
      </c>
      <c r="R224" s="275">
        <f t="shared" si="72"/>
        <v>-3.2958638553435629E-3</v>
      </c>
      <c r="S224" s="275">
        <f t="shared" si="72"/>
        <v>-3.2492682306214586E-3</v>
      </c>
      <c r="T224" s="275">
        <f t="shared" si="72"/>
        <v>-3.2958638553435629E-3</v>
      </c>
      <c r="U224" s="275">
        <f t="shared" si="72"/>
        <v>-3.2958638553435629E-3</v>
      </c>
      <c r="V224" s="275">
        <f t="shared" si="72"/>
        <v>-3.2492682306214586E-3</v>
      </c>
      <c r="W224" s="275">
        <f t="shared" si="72"/>
        <v>-3.2492682306214586E-3</v>
      </c>
      <c r="X224" s="275">
        <f t="shared" si="72"/>
        <v>-3.2088853558623004E-3</v>
      </c>
      <c r="Y224" s="275">
        <f t="shared" si="72"/>
        <v>-3.2088853558623004E-3</v>
      </c>
      <c r="Z224" s="267"/>
      <c r="AA224" s="267"/>
    </row>
    <row r="225" spans="2:27" x14ac:dyDescent="0.3">
      <c r="C225" s="32"/>
      <c r="E225" s="32"/>
      <c r="F225" s="191" t="s">
        <v>193</v>
      </c>
      <c r="G225" t="s">
        <v>269</v>
      </c>
      <c r="H225" s="267"/>
      <c r="I225" s="267"/>
      <c r="J225" s="275">
        <f t="shared" ref="J225:Y225" si="73">hundred * $H33 * J58 / $H46 * J108 / hours_in_year</f>
        <v>7.8595833183335898E-4</v>
      </c>
      <c r="K225" s="275">
        <f t="shared" si="73"/>
        <v>7.8595833183335898E-4</v>
      </c>
      <c r="L225" s="275">
        <f t="shared" si="73"/>
        <v>7.1225392071058095E-4</v>
      </c>
      <c r="M225" s="275">
        <f t="shared" si="73"/>
        <v>7.1225392071058095E-4</v>
      </c>
      <c r="N225" s="275">
        <f t="shared" si="73"/>
        <v>5.2443924739789408E-4</v>
      </c>
      <c r="O225" s="275">
        <f t="shared" si="73"/>
        <v>5.1128964200072694E-4</v>
      </c>
      <c r="P225" s="275">
        <f t="shared" si="73"/>
        <v>4.6232461497277769E-4</v>
      </c>
      <c r="Q225" s="275">
        <f t="shared" si="73"/>
        <v>5.8850112817606347E-4</v>
      </c>
      <c r="R225" s="275">
        <f t="shared" si="73"/>
        <v>-4.6737022453446713E-4</v>
      </c>
      <c r="S225" s="275">
        <f t="shared" si="73"/>
        <v>-4.6076272842889032E-4</v>
      </c>
      <c r="T225" s="275">
        <f t="shared" si="73"/>
        <v>-4.6737022453446713E-4</v>
      </c>
      <c r="U225" s="275">
        <f t="shared" si="73"/>
        <v>-4.6737022453446713E-4</v>
      </c>
      <c r="V225" s="275">
        <f t="shared" si="73"/>
        <v>-4.6076272842889032E-4</v>
      </c>
      <c r="W225" s="275">
        <f t="shared" si="73"/>
        <v>-4.6076272842889032E-4</v>
      </c>
      <c r="X225" s="275">
        <f t="shared" si="73"/>
        <v>-4.5503623180405704E-4</v>
      </c>
      <c r="Y225" s="275">
        <f t="shared" si="73"/>
        <v>-4.5503623180405704E-4</v>
      </c>
      <c r="Z225" s="267"/>
      <c r="AA225" s="267"/>
    </row>
    <row r="226" spans="2:27" x14ac:dyDescent="0.3">
      <c r="C226" s="32"/>
      <c r="E226" s="32"/>
      <c r="F226" s="191" t="s">
        <v>194</v>
      </c>
      <c r="G226" t="s">
        <v>269</v>
      </c>
      <c r="H226" s="267"/>
      <c r="I226" s="267"/>
      <c r="J226" s="275">
        <f t="shared" ref="J226:Y226" si="74">hundred * $H34 * J59 / $H47 * J109 / hours_in_year</f>
        <v>5.5935401321446851E-3</v>
      </c>
      <c r="K226" s="275">
        <f t="shared" si="74"/>
        <v>5.5935401321446851E-3</v>
      </c>
      <c r="L226" s="275">
        <f t="shared" si="74"/>
        <v>5.068997589832455E-3</v>
      </c>
      <c r="M226" s="275">
        <f t="shared" si="74"/>
        <v>5.068997589832455E-3</v>
      </c>
      <c r="N226" s="275">
        <f t="shared" si="74"/>
        <v>3.7323505055912283E-3</v>
      </c>
      <c r="O226" s="275">
        <f t="shared" si="74"/>
        <v>3.6387668605914378E-3</v>
      </c>
      <c r="P226" s="275">
        <f t="shared" si="74"/>
        <v>3.2902905703617747E-3</v>
      </c>
      <c r="Q226" s="275">
        <f t="shared" si="74"/>
        <v>4.1882686968743432E-3</v>
      </c>
      <c r="R226" s="275">
        <f t="shared" si="74"/>
        <v>-3.3261993691254569E-3</v>
      </c>
      <c r="S226" s="275">
        <f t="shared" si="74"/>
        <v>-3.2791748728607235E-3</v>
      </c>
      <c r="T226" s="275">
        <f t="shared" si="74"/>
        <v>-3.3261993691254569E-3</v>
      </c>
      <c r="U226" s="275">
        <f t="shared" si="74"/>
        <v>-3.3261993691254569E-3</v>
      </c>
      <c r="V226" s="275">
        <f t="shared" si="74"/>
        <v>-3.2791748728607235E-3</v>
      </c>
      <c r="W226" s="275">
        <f t="shared" si="74"/>
        <v>-3.2791748728607235E-3</v>
      </c>
      <c r="X226" s="275">
        <f t="shared" si="74"/>
        <v>-3.238420309431288E-3</v>
      </c>
      <c r="Y226" s="275">
        <f t="shared" si="74"/>
        <v>-3.238420309431288E-3</v>
      </c>
      <c r="Z226" s="267"/>
      <c r="AA226" s="267"/>
    </row>
    <row r="227" spans="2:27" x14ac:dyDescent="0.3">
      <c r="C227" s="32"/>
      <c r="E227" s="32"/>
      <c r="F227" s="191" t="s">
        <v>195</v>
      </c>
      <c r="G227" t="s">
        <v>269</v>
      </c>
      <c r="H227" s="267"/>
      <c r="I227" s="267"/>
      <c r="J227" s="275">
        <f t="shared" ref="J227:Y227" si="75">hundred * $H35 * J60 / $H48 * J110 / hours_in_year</f>
        <v>5.3942394940717335E-3</v>
      </c>
      <c r="K227" s="275">
        <f t="shared" si="75"/>
        <v>5.3942394940717335E-3</v>
      </c>
      <c r="L227" s="275">
        <f t="shared" si="75"/>
        <v>4.8883866654130196E-3</v>
      </c>
      <c r="M227" s="275">
        <f t="shared" si="75"/>
        <v>4.8883866654130196E-3</v>
      </c>
      <c r="N227" s="275">
        <f t="shared" si="75"/>
        <v>3.5993649866349134E-3</v>
      </c>
      <c r="O227" s="275">
        <f t="shared" si="75"/>
        <v>3.5091157738052726E-3</v>
      </c>
      <c r="P227" s="275">
        <f t="shared" si="75"/>
        <v>3.1730558684330179E-3</v>
      </c>
      <c r="Q227" s="275">
        <f t="shared" si="75"/>
        <v>4.0390385842823066E-3</v>
      </c>
      <c r="R227" s="275">
        <f t="shared" si="75"/>
        <v>-3.2076852187012997E-3</v>
      </c>
      <c r="S227" s="275">
        <f t="shared" si="75"/>
        <v>-3.1623362288044853E-3</v>
      </c>
      <c r="T227" s="275">
        <f t="shared" si="75"/>
        <v>-3.2076852187012997E-3</v>
      </c>
      <c r="U227" s="275">
        <f t="shared" si="75"/>
        <v>-3.2076852187012997E-3</v>
      </c>
      <c r="V227" s="275">
        <f t="shared" si="75"/>
        <v>-3.1623362288044853E-3</v>
      </c>
      <c r="W227" s="275">
        <f t="shared" si="75"/>
        <v>-3.1623362288044853E-3</v>
      </c>
      <c r="X227" s="275">
        <f t="shared" si="75"/>
        <v>-3.1230337708939137E-3</v>
      </c>
      <c r="Y227" s="275">
        <f t="shared" si="75"/>
        <v>-3.1230337708939137E-3</v>
      </c>
      <c r="Z227" s="267"/>
      <c r="AA227" s="267"/>
    </row>
    <row r="228" spans="2:27" x14ac:dyDescent="0.3">
      <c r="C228" s="32"/>
      <c r="E228" s="32"/>
      <c r="F228" s="191" t="s">
        <v>196</v>
      </c>
      <c r="G228" t="s">
        <v>269</v>
      </c>
      <c r="H228" s="267"/>
      <c r="I228" s="267"/>
      <c r="J228" s="275">
        <f t="shared" ref="J228:Y228" si="76">hundred * $H36 * J61 / $H49 * J111 / hours_in_year</f>
        <v>0</v>
      </c>
      <c r="K228" s="275">
        <f t="shared" si="76"/>
        <v>0</v>
      </c>
      <c r="L228" s="275">
        <f t="shared" si="76"/>
        <v>0</v>
      </c>
      <c r="M228" s="275">
        <f t="shared" si="76"/>
        <v>0</v>
      </c>
      <c r="N228" s="275">
        <f t="shared" si="76"/>
        <v>0</v>
      </c>
      <c r="O228" s="275">
        <f t="shared" si="76"/>
        <v>0</v>
      </c>
      <c r="P228" s="275">
        <f t="shared" si="76"/>
        <v>0</v>
      </c>
      <c r="Q228" s="275">
        <f t="shared" si="76"/>
        <v>0</v>
      </c>
      <c r="R228" s="275">
        <f t="shared" si="76"/>
        <v>0</v>
      </c>
      <c r="S228" s="275">
        <f t="shared" si="76"/>
        <v>0</v>
      </c>
      <c r="T228" s="275">
        <f t="shared" si="76"/>
        <v>0</v>
      </c>
      <c r="U228" s="275">
        <f t="shared" si="76"/>
        <v>0</v>
      </c>
      <c r="V228" s="275">
        <f t="shared" si="76"/>
        <v>0</v>
      </c>
      <c r="W228" s="275">
        <f t="shared" si="76"/>
        <v>0</v>
      </c>
      <c r="X228" s="275">
        <f t="shared" si="76"/>
        <v>0</v>
      </c>
      <c r="Y228" s="275">
        <f t="shared" si="76"/>
        <v>0</v>
      </c>
      <c r="Z228" s="267"/>
      <c r="AA228" s="267"/>
    </row>
    <row r="229" spans="2:27" x14ac:dyDescent="0.3">
      <c r="C229" s="32"/>
      <c r="E229" s="32"/>
      <c r="F229" s="191" t="s">
        <v>197</v>
      </c>
      <c r="G229" t="s">
        <v>269</v>
      </c>
      <c r="H229" s="267"/>
      <c r="I229" s="267"/>
      <c r="J229" s="275">
        <f t="shared" ref="J229:Y229" si="77">hundred * $H37 * J62 / $H50 * J112 / hours_in_year</f>
        <v>2.0702748291153143E-2</v>
      </c>
      <c r="K229" s="275">
        <f t="shared" si="77"/>
        <v>2.0702748291153143E-2</v>
      </c>
      <c r="L229" s="275">
        <f t="shared" si="77"/>
        <v>1.8761317289508056E-2</v>
      </c>
      <c r="M229" s="275">
        <f t="shared" si="77"/>
        <v>1.8761317289508056E-2</v>
      </c>
      <c r="N229" s="275">
        <f t="shared" si="77"/>
        <v>1.3814134023560925E-2</v>
      </c>
      <c r="O229" s="275">
        <f t="shared" si="77"/>
        <v>1.3467763281449803E-2</v>
      </c>
      <c r="P229" s="275">
        <f t="shared" si="77"/>
        <v>1.2177986726419815E-2</v>
      </c>
      <c r="Q229" s="275">
        <f t="shared" si="77"/>
        <v>1.5501573343295119E-2</v>
      </c>
      <c r="R229" s="275">
        <f t="shared" si="77"/>
        <v>-1.2310891971520318E-2</v>
      </c>
      <c r="S229" s="275">
        <f t="shared" si="77"/>
        <v>-1.2136845430923896E-2</v>
      </c>
      <c r="T229" s="275">
        <f t="shared" si="77"/>
        <v>-1.2310891971520318E-2</v>
      </c>
      <c r="U229" s="275">
        <f t="shared" si="77"/>
        <v>-1.2310891971520318E-2</v>
      </c>
      <c r="V229" s="275">
        <f t="shared" si="77"/>
        <v>-1.2136845430923896E-2</v>
      </c>
      <c r="W229" s="275">
        <f t="shared" si="77"/>
        <v>-1.2136845430923896E-2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8.9673746642069899E-3</v>
      </c>
      <c r="K230" s="275">
        <f t="shared" si="78"/>
        <v>8.9673746642069899E-3</v>
      </c>
      <c r="L230" s="275">
        <f t="shared" si="78"/>
        <v>8.1264457724666717E-3</v>
      </c>
      <c r="M230" s="275">
        <f t="shared" si="78"/>
        <v>8.1264457724666717E-3</v>
      </c>
      <c r="N230" s="275">
        <f t="shared" si="78"/>
        <v>5.9835783012333619E-3</v>
      </c>
      <c r="O230" s="275">
        <f t="shared" si="78"/>
        <v>5.8335481615848428E-3</v>
      </c>
      <c r="P230" s="275">
        <f t="shared" si="78"/>
        <v>0</v>
      </c>
      <c r="Q230" s="275">
        <f t="shared" si="78"/>
        <v>6.7144909506248133E-3</v>
      </c>
      <c r="R230" s="275">
        <f t="shared" si="78"/>
        <v>-5.3324505136535883E-3</v>
      </c>
      <c r="S230" s="275">
        <f t="shared" si="78"/>
        <v>0</v>
      </c>
      <c r="T230" s="275">
        <f t="shared" si="78"/>
        <v>-5.3324505136535883E-3</v>
      </c>
      <c r="U230" s="275">
        <f t="shared" si="78"/>
        <v>-5.3324505136535883E-3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2.1327947368941513E-2</v>
      </c>
      <c r="K231" s="276">
        <f t="shared" si="79"/>
        <v>2.1327947368941513E-2</v>
      </c>
      <c r="L231" s="276">
        <f t="shared" si="79"/>
        <v>1.9327887394236992E-2</v>
      </c>
      <c r="M231" s="276">
        <f t="shared" si="79"/>
        <v>1.9327887394236992E-2</v>
      </c>
      <c r="N231" s="276">
        <f t="shared" si="79"/>
        <v>1.4231304909788911E-2</v>
      </c>
      <c r="O231" s="276">
        <f t="shared" si="79"/>
        <v>0</v>
      </c>
      <c r="P231" s="276">
        <f t="shared" si="79"/>
        <v>0</v>
      </c>
      <c r="Q231" s="276">
        <f t="shared" si="79"/>
        <v>1.5969702947258781E-2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131335090.68299848</v>
      </c>
    </row>
    <row r="21" spans="2:27" x14ac:dyDescent="0.3">
      <c r="C21" s="88"/>
      <c r="E21" t="s">
        <v>637</v>
      </c>
      <c r="G21" t="s">
        <v>357</v>
      </c>
      <c r="H21" s="120">
        <f>'Unit costs'!$H$123</f>
        <v>3664162978.4085145</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3.5843135651144623E-2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2.416431088352712</v>
      </c>
      <c r="K42" s="101">
        <f t="shared" si="0"/>
        <v>0</v>
      </c>
      <c r="L42" s="101">
        <f t="shared" ref="L42:M42" si="1">L25 * $H$35 / days_in_year * hundred</f>
        <v>7.0853052605786528</v>
      </c>
      <c r="M42" s="101">
        <f t="shared" si="1"/>
        <v>0</v>
      </c>
      <c r="N42" s="101">
        <f t="shared" ref="N42:P42" si="2">N25 * $H$35 / days_in_year * hundred</f>
        <v>14.136159429500619</v>
      </c>
      <c r="O42" s="101">
        <f t="shared" si="2"/>
        <v>11.034791559616068</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101.87138209179749</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63.755459127934301</v>
      </c>
      <c r="Y43" s="121">
        <f t="shared" si="13"/>
        <v>63.755459127934301</v>
      </c>
    </row>
    <row r="44" spans="2:27" x14ac:dyDescent="0.3">
      <c r="D44"/>
      <c r="E44" s="88"/>
      <c r="F44" s="37" t="s">
        <v>553</v>
      </c>
      <c r="G44" s="37" t="s">
        <v>269</v>
      </c>
      <c r="H44" s="269"/>
      <c r="I44" s="269"/>
      <c r="J44" s="270"/>
      <c r="K44" s="270"/>
      <c r="L44" s="270"/>
      <c r="M44" s="270"/>
      <c r="N44" s="270"/>
      <c r="O44" s="270"/>
      <c r="P44" s="270"/>
      <c r="Q44" s="277">
        <f t="shared" ref="Q44" si="14">Q27*$H$35/ten</f>
        <v>0.99704202557624577</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activeCell="B5" sqref="B5"/>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South West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3.2597974437126167</v>
      </c>
      <c r="K24" s="279">
        <f>'Initial unit rates'!K154</f>
        <v>3.2597974437126167</v>
      </c>
      <c r="L24" s="279">
        <f>'Initial unit rates'!L154</f>
        <v>2.9541050917937408</v>
      </c>
      <c r="M24" s="279">
        <f>'Initial unit rates'!M154</f>
        <v>2.9541050917937408</v>
      </c>
      <c r="N24" s="279">
        <f>'Initial unit rates'!N154</f>
        <v>2.1751353078253142</v>
      </c>
      <c r="O24" s="279">
        <f>'Initial unit rates'!O154</f>
        <v>2.1205967294766039</v>
      </c>
      <c r="P24" s="279">
        <f>'Initial unit rates'!P154</f>
        <v>1.917512083036504</v>
      </c>
      <c r="Q24" s="279">
        <f>'Initial unit rates'!Q154</f>
        <v>7.3585871471964408</v>
      </c>
      <c r="R24" s="279">
        <f>'Initial unit rates'!R154</f>
        <v>-1.9384389750675373</v>
      </c>
      <c r="S24" s="279">
        <f>'Initial unit rates'!S154</f>
        <v>-1.911034088520871</v>
      </c>
      <c r="T24" s="279">
        <f>'Initial unit rates'!T154</f>
        <v>-1.9384389750675373</v>
      </c>
      <c r="U24" s="279">
        <f>'Initial unit rates'!U154</f>
        <v>-1.9384389750675373</v>
      </c>
      <c r="V24" s="279">
        <f>'Initial unit rates'!V154</f>
        <v>-1.911034088520871</v>
      </c>
      <c r="W24" s="279">
        <f>'Initial unit rates'!W154</f>
        <v>-1.911034088520871</v>
      </c>
      <c r="X24" s="279">
        <f>'Initial unit rates'!X154</f>
        <v>-1.8872831868470927</v>
      </c>
      <c r="Y24" s="279">
        <f>'Initial unit rates'!Y154</f>
        <v>-1.8872831868470927</v>
      </c>
      <c r="Z24" s="267"/>
      <c r="AA24" s="267"/>
    </row>
    <row r="25" spans="3:27" x14ac:dyDescent="0.3">
      <c r="D25"/>
      <c r="F25" t="s">
        <v>193</v>
      </c>
      <c r="G25" t="s">
        <v>269</v>
      </c>
      <c r="H25" s="267"/>
      <c r="I25" s="267"/>
      <c r="J25" s="279">
        <f>'Initial unit rates'!J155</f>
        <v>0.46225582429163581</v>
      </c>
      <c r="K25" s="279">
        <f>'Initial unit rates'!K155</f>
        <v>0.46225582429163581</v>
      </c>
      <c r="L25" s="279">
        <f>'Initial unit rates'!L155</f>
        <v>0.41890709709128204</v>
      </c>
      <c r="M25" s="279">
        <f>'Initial unit rates'!M155</f>
        <v>0.41890709709128204</v>
      </c>
      <c r="N25" s="279">
        <f>'Initial unit rates'!N155</f>
        <v>0.30844522766405164</v>
      </c>
      <c r="O25" s="279">
        <f>'Initial unit rates'!O155</f>
        <v>0.30071138041568879</v>
      </c>
      <c r="P25" s="279">
        <f>'Initial unit rates'!P155</f>
        <v>8.9731272407779339E-2</v>
      </c>
      <c r="Q25" s="279">
        <f>'Initial unit rates'!Q155</f>
        <v>1.043485009754185</v>
      </c>
      <c r="R25" s="279">
        <f>'Initial unit rates'!R155</f>
        <v>-0.27488048620541039</v>
      </c>
      <c r="S25" s="279">
        <f>'Initial unit rates'!S155</f>
        <v>-0.27099433418554125</v>
      </c>
      <c r="T25" s="279">
        <f>'Initial unit rates'!T155</f>
        <v>-0.27488048620541039</v>
      </c>
      <c r="U25" s="279">
        <f>'Initial unit rates'!U155</f>
        <v>-0.27488048620541039</v>
      </c>
      <c r="V25" s="279">
        <f>'Initial unit rates'!V155</f>
        <v>-0.27099433418554125</v>
      </c>
      <c r="W25" s="279">
        <f>'Initial unit rates'!W155</f>
        <v>-0.27099433418554125</v>
      </c>
      <c r="X25" s="279">
        <f>'Initial unit rates'!X155</f>
        <v>-8.8316690803546025E-2</v>
      </c>
      <c r="Y25" s="279">
        <f>'Initial unit rates'!Y155</f>
        <v>-8.8316690803546025E-2</v>
      </c>
      <c r="Z25" s="267"/>
      <c r="AA25" s="267"/>
    </row>
    <row r="26" spans="3:27" x14ac:dyDescent="0.3">
      <c r="D26"/>
      <c r="F26" t="s">
        <v>194</v>
      </c>
      <c r="G26" t="s">
        <v>269</v>
      </c>
      <c r="H26" s="267"/>
      <c r="I26" s="267"/>
      <c r="J26" s="279">
        <f>'Initial unit rates'!J156</f>
        <v>0.86643183547915059</v>
      </c>
      <c r="K26" s="279">
        <f>'Initial unit rates'!K156</f>
        <v>0.86643183547915059</v>
      </c>
      <c r="L26" s="279">
        <f>'Initial unit rates'!L156</f>
        <v>0.78518090190477607</v>
      </c>
      <c r="M26" s="279">
        <f>'Initial unit rates'!M156</f>
        <v>0.78518090190477607</v>
      </c>
      <c r="N26" s="279">
        <f>'Initial unit rates'!N156</f>
        <v>0.57813606818103291</v>
      </c>
      <c r="O26" s="279">
        <f>'Initial unit rates'!O156</f>
        <v>0.56364008756903572</v>
      </c>
      <c r="P26" s="279">
        <f>'Initial unit rates'!P156</f>
        <v>0.1681883211991769</v>
      </c>
      <c r="Q26" s="279">
        <f>'Initial unit rates'!Q156</f>
        <v>1.7019206591270826</v>
      </c>
      <c r="R26" s="279">
        <f>'Initial unit rates'!R156</f>
        <v>-0.51522380397331113</v>
      </c>
      <c r="S26" s="279">
        <f>'Initial unit rates'!S156</f>
        <v>-0.50793977281440483</v>
      </c>
      <c r="T26" s="279">
        <f>'Initial unit rates'!T156</f>
        <v>-0.51522380397331113</v>
      </c>
      <c r="U26" s="279">
        <f>'Initial unit rates'!U156</f>
        <v>-0.51522380397331113</v>
      </c>
      <c r="V26" s="279">
        <f>'Initial unit rates'!V156</f>
        <v>-0.50793977281440483</v>
      </c>
      <c r="W26" s="279">
        <f>'Initial unit rates'!W156</f>
        <v>-0.50793977281440483</v>
      </c>
      <c r="X26" s="279">
        <f>'Initial unit rates'!X156</f>
        <v>-0.16553689211730632</v>
      </c>
      <c r="Y26" s="279">
        <f>'Initial unit rates'!Y156</f>
        <v>-0.16553689211730632</v>
      </c>
      <c r="Z26" s="267"/>
      <c r="AA26" s="267"/>
    </row>
    <row r="27" spans="3:27" x14ac:dyDescent="0.3">
      <c r="D27"/>
      <c r="F27" t="s">
        <v>195</v>
      </c>
      <c r="G27" t="s">
        <v>269</v>
      </c>
      <c r="H27" s="267"/>
      <c r="I27" s="267"/>
      <c r="J27" s="279">
        <f>'Initial unit rates'!J157</f>
        <v>0.15875648264517397</v>
      </c>
      <c r="K27" s="279">
        <f>'Initial unit rates'!K157</f>
        <v>0.15875648264517397</v>
      </c>
      <c r="L27" s="279">
        <f>'Initial unit rates'!L157</f>
        <v>0.1438688574475484</v>
      </c>
      <c r="M27" s="279">
        <f>'Initial unit rates'!M157</f>
        <v>0.1438688574475484</v>
      </c>
      <c r="N27" s="279">
        <f>'Initial unit rates'!N157</f>
        <v>0.10593199016512808</v>
      </c>
      <c r="O27" s="279">
        <f>'Initial unit rates'!O157</f>
        <v>0.10327588866906449</v>
      </c>
      <c r="P27" s="279">
        <f>'Initial unit rates'!P157</f>
        <v>0</v>
      </c>
      <c r="Q27" s="279">
        <f>'Initial unit rates'!Q157</f>
        <v>0.31184327089591746</v>
      </c>
      <c r="R27" s="279">
        <f>'Initial unit rates'!R157</f>
        <v>-9.4404563110998194E-2</v>
      </c>
      <c r="S27" s="279">
        <f>'Initial unit rates'!S157</f>
        <v>-9.3069908590107567E-2</v>
      </c>
      <c r="T27" s="279">
        <f>'Initial unit rates'!T157</f>
        <v>-9.4404563110998194E-2</v>
      </c>
      <c r="U27" s="279">
        <f>'Initial unit rates'!U157</f>
        <v>-9.4404563110998194E-2</v>
      </c>
      <c r="V27" s="279">
        <f>'Initial unit rates'!V157</f>
        <v>-9.3069908590107567E-2</v>
      </c>
      <c r="W27" s="279">
        <f>'Initial unit rates'!W157</f>
        <v>-9.3069908590107567E-2</v>
      </c>
      <c r="X27" s="279">
        <f>'Initial unit rates'!X157</f>
        <v>0</v>
      </c>
      <c r="Y27" s="279">
        <f>'Initial unit rates'!Y157</f>
        <v>0</v>
      </c>
      <c r="Z27" s="267"/>
      <c r="AA27" s="267"/>
    </row>
    <row r="28" spans="3:27" x14ac:dyDescent="0.3">
      <c r="D28"/>
      <c r="F28" t="s">
        <v>196</v>
      </c>
      <c r="G28" t="s">
        <v>269</v>
      </c>
      <c r="H28" s="267"/>
      <c r="I28" s="267"/>
      <c r="J28" s="279">
        <f>'Initial unit rates'!J158</f>
        <v>0</v>
      </c>
      <c r="K28" s="279">
        <f>'Initial unit rates'!K158</f>
        <v>0</v>
      </c>
      <c r="L28" s="279">
        <f>'Initial unit rates'!L158</f>
        <v>0</v>
      </c>
      <c r="M28" s="279">
        <f>'Initial unit rates'!M158</f>
        <v>0</v>
      </c>
      <c r="N28" s="279">
        <f>'Initial unit rates'!N158</f>
        <v>0</v>
      </c>
      <c r="O28" s="279">
        <f>'Initial unit rates'!O158</f>
        <v>0</v>
      </c>
      <c r="P28" s="279">
        <f>'Initial unit rates'!P158</f>
        <v>0</v>
      </c>
      <c r="Q28" s="279">
        <f>'Initial unit rates'!Q158</f>
        <v>0</v>
      </c>
      <c r="R28" s="279">
        <f>'Initial unit rates'!R158</f>
        <v>0</v>
      </c>
      <c r="S28" s="279">
        <f>'Initial unit rates'!S158</f>
        <v>0</v>
      </c>
      <c r="T28" s="279">
        <f>'Initial unit rates'!T158</f>
        <v>0</v>
      </c>
      <c r="U28" s="279">
        <f>'Initial unit rates'!U158</f>
        <v>0</v>
      </c>
      <c r="V28" s="279">
        <f>'Initial unit rates'!V158</f>
        <v>0</v>
      </c>
      <c r="W28" s="279">
        <f>'Initial unit rates'!W158</f>
        <v>0</v>
      </c>
      <c r="X28" s="279">
        <f>'Initial unit rates'!X158</f>
        <v>0</v>
      </c>
      <c r="Y28" s="279">
        <f>'Initial unit rates'!Y158</f>
        <v>0</v>
      </c>
      <c r="Z28" s="267"/>
      <c r="AA28" s="267"/>
    </row>
    <row r="29" spans="3:27" x14ac:dyDescent="0.3">
      <c r="D29"/>
      <c r="F29" t="s">
        <v>197</v>
      </c>
      <c r="G29" t="s">
        <v>269</v>
      </c>
      <c r="H29" s="267"/>
      <c r="I29" s="267"/>
      <c r="J29" s="279">
        <f>'Initial unit rates'!J159</f>
        <v>0.60929728896982349</v>
      </c>
      <c r="K29" s="279">
        <f>'Initial unit rates'!K159</f>
        <v>0.60929728896982349</v>
      </c>
      <c r="L29" s="279">
        <f>'Initial unit rates'!L159</f>
        <v>0.55215952979947169</v>
      </c>
      <c r="M29" s="279">
        <f>'Initial unit rates'!M159</f>
        <v>0.55215952979947169</v>
      </c>
      <c r="N29" s="279">
        <f>'Initial unit rates'!N159</f>
        <v>0.4065602446424107</v>
      </c>
      <c r="O29" s="279">
        <f>'Initial unit rates'!O159</f>
        <v>0.39636629593672329</v>
      </c>
      <c r="P29" s="279">
        <f>'Initial unit rates'!P159</f>
        <v>0</v>
      </c>
      <c r="Q29" s="279">
        <f>'Initial unit rates'!Q159</f>
        <v>1.1968346512503232</v>
      </c>
      <c r="R29" s="279">
        <f>'Initial unit rates'!R159</f>
        <v>-0.36231871235439195</v>
      </c>
      <c r="S29" s="279">
        <f>'Initial unit rates'!S159</f>
        <v>-0.35719639314108764</v>
      </c>
      <c r="T29" s="279">
        <f>'Initial unit rates'!T159</f>
        <v>-0.36231871235439195</v>
      </c>
      <c r="U29" s="279">
        <f>'Initial unit rates'!U159</f>
        <v>-0.36231871235439195</v>
      </c>
      <c r="V29" s="279">
        <f>'Initial unit rates'!V159</f>
        <v>-0.35719639314108764</v>
      </c>
      <c r="W29" s="279">
        <f>'Initial unit rates'!W159</f>
        <v>-0.35719639314108764</v>
      </c>
      <c r="X29" s="279">
        <f>'Initial unit rates'!X159</f>
        <v>0</v>
      </c>
      <c r="Y29" s="279">
        <f>'Initial unit rates'!Y159</f>
        <v>0</v>
      </c>
      <c r="Z29" s="267"/>
      <c r="AA29" s="267"/>
    </row>
    <row r="30" spans="3:27" x14ac:dyDescent="0.3">
      <c r="D30"/>
      <c r="F30" t="s">
        <v>198</v>
      </c>
      <c r="G30" t="s">
        <v>269</v>
      </c>
      <c r="H30" s="267"/>
      <c r="I30" s="267"/>
      <c r="J30" s="279">
        <f>'Initial unit rates'!J160</f>
        <v>6.9451713102834753E-2</v>
      </c>
      <c r="K30" s="279">
        <f>'Initial unit rates'!K160</f>
        <v>6.9451713102834753E-2</v>
      </c>
      <c r="L30" s="279">
        <f>'Initial unit rates'!L160</f>
        <v>6.2938775446493608E-2</v>
      </c>
      <c r="M30" s="279">
        <f>'Initial unit rates'!M160</f>
        <v>6.2938775446493608E-2</v>
      </c>
      <c r="N30" s="279">
        <f>'Initial unit rates'!N160</f>
        <v>4.6342411136711073E-2</v>
      </c>
      <c r="O30" s="279">
        <f>'Initial unit rates'!O160</f>
        <v>4.5180437804957944E-2</v>
      </c>
      <c r="P30" s="279">
        <f>'Initial unit rates'!P160</f>
        <v>0</v>
      </c>
      <c r="Q30" s="279">
        <f>'Initial unit rates'!Q160</f>
        <v>0.13642308661951963</v>
      </c>
      <c r="R30" s="279">
        <f>'Initial unit rates'!R160</f>
        <v>-4.1299470254941531E-2</v>
      </c>
      <c r="S30" s="279">
        <f>'Initial unit rates'!S160</f>
        <v>0</v>
      </c>
      <c r="T30" s="279">
        <f>'Initial unit rates'!T160</f>
        <v>-4.1299470254941531E-2</v>
      </c>
      <c r="U30" s="279">
        <f>'Initial unit rates'!U160</f>
        <v>-4.1299470254941531E-2</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0.16518351660408487</v>
      </c>
      <c r="K31" s="279">
        <f>'Initial unit rates'!K161</f>
        <v>0.16518351660408487</v>
      </c>
      <c r="L31" s="279">
        <f>'Initial unit rates'!L161</f>
        <v>0.14969318674131171</v>
      </c>
      <c r="M31" s="279">
        <f>'Initial unit rates'!M161</f>
        <v>0.14969318674131171</v>
      </c>
      <c r="N31" s="279">
        <f>'Initial unit rates'!N161</f>
        <v>0.11022049849425233</v>
      </c>
      <c r="O31" s="279">
        <f>'Initial unit rates'!O161</f>
        <v>0</v>
      </c>
      <c r="P31" s="279">
        <f>'Initial unit rates'!P161</f>
        <v>0</v>
      </c>
      <c r="Q31" s="279">
        <f>'Initial unit rates'!Q161</f>
        <v>0.32446780917310664</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1.0151637489846306</v>
      </c>
      <c r="K36" s="278">
        <f>'Initial unit rates'!K164</f>
        <v>1.0151637489846306</v>
      </c>
      <c r="L36" s="278">
        <f>'Initial unit rates'!L164</f>
        <v>0.91996525908813587</v>
      </c>
      <c r="M36" s="278">
        <f>'Initial unit rates'!M164</f>
        <v>0.91996525908813587</v>
      </c>
      <c r="N36" s="278">
        <f>'Initial unit rates'!N164</f>
        <v>0.67737905552988453</v>
      </c>
      <c r="O36" s="278">
        <f>'Initial unit rates'!O164</f>
        <v>0.66039469112787053</v>
      </c>
      <c r="P36" s="278">
        <f>'Initial unit rates'!P164</f>
        <v>0.59715021824229542</v>
      </c>
      <c r="Q36" s="278">
        <f>'Initial unit rates'!Q164</f>
        <v>1.9382769609686996</v>
      </c>
      <c r="R36" s="278">
        <f>'Initial unit rates'!R164</f>
        <v>-0.60366725573792124</v>
      </c>
      <c r="S36" s="278">
        <f>'Initial unit rates'!S164</f>
        <v>-0.59513284590185256</v>
      </c>
      <c r="T36" s="278">
        <f>'Initial unit rates'!T164</f>
        <v>-0.60366725573792124</v>
      </c>
      <c r="U36" s="278">
        <f>'Initial unit rates'!U164</f>
        <v>-0.60366725573792124</v>
      </c>
      <c r="V36" s="278">
        <f>'Initial unit rates'!V164</f>
        <v>-0.59513284590185256</v>
      </c>
      <c r="W36" s="278">
        <f>'Initial unit rates'!W164</f>
        <v>-0.59513284590185256</v>
      </c>
      <c r="X36" s="278">
        <f>'Initial unit rates'!X164</f>
        <v>-0.58773635737725971</v>
      </c>
      <c r="Y36" s="278">
        <f>'Initial unit rates'!Y164</f>
        <v>-0.58773635737725971</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2.5907594165451608</v>
      </c>
      <c r="K38" s="279">
        <f>'Initial unit rates'!K166</f>
        <v>2.5907594165451608</v>
      </c>
      <c r="L38" s="279">
        <f>'Initial unit rates'!L166</f>
        <v>2.3478071003430614</v>
      </c>
      <c r="M38" s="279">
        <f>'Initial unit rates'!M166</f>
        <v>2.3478071003430614</v>
      </c>
      <c r="N38" s="279">
        <f>'Initial unit rates'!N166</f>
        <v>1.7287124056978962</v>
      </c>
      <c r="O38" s="279">
        <f>'Initial unit rates'!O166</f>
        <v>1.6853672783206006</v>
      </c>
      <c r="P38" s="279">
        <f>'Initial unit rates'!P166</f>
        <v>1.523963550265276</v>
      </c>
      <c r="Q38" s="279">
        <f>'Initial unit rates'!Q166</f>
        <v>5.8483170421640711</v>
      </c>
      <c r="R38" s="279">
        <f>'Initial unit rates'!R166</f>
        <v>-1.5405954249521505</v>
      </c>
      <c r="S38" s="279">
        <f>'Initial unit rates'!S166</f>
        <v>-1.518815093779406</v>
      </c>
      <c r="T38" s="279">
        <f>'Initial unit rates'!T166</f>
        <v>-1.5405954249521505</v>
      </c>
      <c r="U38" s="279">
        <f>'Initial unit rates'!U166</f>
        <v>-1.5405954249521505</v>
      </c>
      <c r="V38" s="279">
        <f>'Initial unit rates'!V166</f>
        <v>-1.518815093779406</v>
      </c>
      <c r="W38" s="279">
        <f>'Initial unit rates'!W166</f>
        <v>-1.518815093779406</v>
      </c>
      <c r="X38" s="279">
        <f>'Initial unit rates'!X166</f>
        <v>-1.4999388067630268</v>
      </c>
      <c r="Y38" s="279">
        <f>'Initial unit rates'!Y166</f>
        <v>-1.4999388067630268</v>
      </c>
      <c r="Z38" s="267"/>
      <c r="AA38" s="267"/>
    </row>
    <row r="39" spans="4:27" x14ac:dyDescent="0.3">
      <c r="D39"/>
      <c r="F39" t="s">
        <v>193</v>
      </c>
      <c r="G39" t="s">
        <v>269</v>
      </c>
      <c r="H39" s="267"/>
      <c r="I39" s="267"/>
      <c r="J39" s="279">
        <f>'Initial unit rates'!J167</f>
        <v>0.36738283599377553</v>
      </c>
      <c r="K39" s="279">
        <f>'Initial unit rates'!K167</f>
        <v>0.36738283599377553</v>
      </c>
      <c r="L39" s="279">
        <f>'Initial unit rates'!L167</f>
        <v>0.33293096432727803</v>
      </c>
      <c r="M39" s="279">
        <f>'Initial unit rates'!M167</f>
        <v>0.33293096432727803</v>
      </c>
      <c r="N39" s="279">
        <f>'Initial unit rates'!N167</f>
        <v>0.24514019409406815</v>
      </c>
      <c r="O39" s="279">
        <f>'Initial unit rates'!O167</f>
        <v>0.23899363501155099</v>
      </c>
      <c r="P39" s="279">
        <f>'Initial unit rates'!P167</f>
        <v>0.21610576708593437</v>
      </c>
      <c r="Q39" s="279">
        <f>'Initial unit rates'!Q167</f>
        <v>0.82932104271037888</v>
      </c>
      <c r="R39" s="279">
        <f>'Initial unit rates'!R167</f>
        <v>-0.21846425134014014</v>
      </c>
      <c r="S39" s="279">
        <f>'Initial unit rates'!S167</f>
        <v>-0.21537568982260752</v>
      </c>
      <c r="T39" s="279">
        <f>'Initial unit rates'!T167</f>
        <v>-0.21846425134014014</v>
      </c>
      <c r="U39" s="279">
        <f>'Initial unit rates'!U167</f>
        <v>-0.21846425134014014</v>
      </c>
      <c r="V39" s="279">
        <f>'Initial unit rates'!V167</f>
        <v>-0.21537568982260752</v>
      </c>
      <c r="W39" s="279">
        <f>'Initial unit rates'!W167</f>
        <v>-0.21537568982260752</v>
      </c>
      <c r="X39" s="279">
        <f>'Initial unit rates'!X167</f>
        <v>-0.21269893650741259</v>
      </c>
      <c r="Y39" s="279">
        <f>'Initial unit rates'!Y167</f>
        <v>-0.21269893650741259</v>
      </c>
      <c r="Z39" s="267"/>
      <c r="AA39" s="267"/>
    </row>
    <row r="40" spans="4:27" x14ac:dyDescent="0.3">
      <c r="D40"/>
      <c r="F40" t="s">
        <v>194</v>
      </c>
      <c r="G40" t="s">
        <v>269</v>
      </c>
      <c r="H40" s="267"/>
      <c r="I40" s="267"/>
      <c r="J40" s="279">
        <f>'Initial unit rates'!J168</f>
        <v>0.68860610983410897</v>
      </c>
      <c r="K40" s="279">
        <f>'Initial unit rates'!K168</f>
        <v>0.68860610983410897</v>
      </c>
      <c r="L40" s="279">
        <f>'Initial unit rates'!L168</f>
        <v>0.62403104807163534</v>
      </c>
      <c r="M40" s="279">
        <f>'Initial unit rates'!M168</f>
        <v>0.62403104807163534</v>
      </c>
      <c r="N40" s="279">
        <f>'Initial unit rates'!N168</f>
        <v>0.45947991816894423</v>
      </c>
      <c r="O40" s="279">
        <f>'Initial unit rates'!O168</f>
        <v>0.44795908016564323</v>
      </c>
      <c r="P40" s="279">
        <f>'Initial unit rates'!P168</f>
        <v>0.40505907463864915</v>
      </c>
      <c r="Q40" s="279">
        <f>'Initial unit rates'!Q168</f>
        <v>1.3526199250050575</v>
      </c>
      <c r="R40" s="279">
        <f>'Initial unit rates'!R168</f>
        <v>-0.40947971302530783</v>
      </c>
      <c r="S40" s="279">
        <f>'Initial unit rates'!S168</f>
        <v>-0.40369065016444111</v>
      </c>
      <c r="T40" s="279">
        <f>'Initial unit rates'!T168</f>
        <v>-0.40947971302530783</v>
      </c>
      <c r="U40" s="279">
        <f>'Initial unit rates'!U168</f>
        <v>-0.40947971302530783</v>
      </c>
      <c r="V40" s="279">
        <f>'Initial unit rates'!V168</f>
        <v>-0.40369065016444111</v>
      </c>
      <c r="W40" s="279">
        <f>'Initial unit rates'!W168</f>
        <v>-0.40369065016444111</v>
      </c>
      <c r="X40" s="279">
        <f>'Initial unit rates'!X168</f>
        <v>-0.39867346235168993</v>
      </c>
      <c r="Y40" s="279">
        <f>'Initial unit rates'!Y168</f>
        <v>-0.39867346235168993</v>
      </c>
      <c r="Z40" s="267"/>
      <c r="AA40" s="267"/>
    </row>
    <row r="41" spans="4:27" x14ac:dyDescent="0.3">
      <c r="D41"/>
      <c r="F41" t="s">
        <v>195</v>
      </c>
      <c r="G41" t="s">
        <v>269</v>
      </c>
      <c r="H41" s="267"/>
      <c r="I41" s="267"/>
      <c r="J41" s="279">
        <f>'Initial unit rates'!J169</f>
        <v>0.66407072905044584</v>
      </c>
      <c r="K41" s="279">
        <f>'Initial unit rates'!K169</f>
        <v>0.66407072905044584</v>
      </c>
      <c r="L41" s="279">
        <f>'Initial unit rates'!L169</f>
        <v>0.60179650909992266</v>
      </c>
      <c r="M41" s="279">
        <f>'Initial unit rates'!M169</f>
        <v>0.60179650909992266</v>
      </c>
      <c r="N41" s="279">
        <f>'Initial unit rates'!N169</f>
        <v>0.44310841841934528</v>
      </c>
      <c r="O41" s="279">
        <f>'Initial unit rates'!O169</f>
        <v>0.43199807364769149</v>
      </c>
      <c r="P41" s="279">
        <f>'Initial unit rates'!P169</f>
        <v>0.3906266168166706</v>
      </c>
      <c r="Q41" s="279">
        <f>'Initial unit rates'!Q169</f>
        <v>1.3044253992208412</v>
      </c>
      <c r="R41" s="279">
        <f>'Initial unit rates'!R169</f>
        <v>-0.39488974564223978</v>
      </c>
      <c r="S41" s="279">
        <f>'Initial unit rates'!S169</f>
        <v>-0.38930694999225518</v>
      </c>
      <c r="T41" s="279">
        <f>'Initial unit rates'!T169</f>
        <v>-0.39488974564223978</v>
      </c>
      <c r="U41" s="279">
        <f>'Initial unit rates'!U169</f>
        <v>-0.39488974564223978</v>
      </c>
      <c r="V41" s="279">
        <f>'Initial unit rates'!V169</f>
        <v>-0.38930694999225518</v>
      </c>
      <c r="W41" s="279">
        <f>'Initial unit rates'!W169</f>
        <v>-0.38930694999225518</v>
      </c>
      <c r="X41" s="279">
        <f>'Initial unit rates'!X169</f>
        <v>-0.38446852709560198</v>
      </c>
      <c r="Y41" s="279">
        <f>'Initial unit rates'!Y169</f>
        <v>-0.38446852709560198</v>
      </c>
      <c r="Z41" s="267"/>
      <c r="AA41" s="267"/>
    </row>
    <row r="42" spans="4:27" x14ac:dyDescent="0.3">
      <c r="D42"/>
      <c r="F42" t="s">
        <v>196</v>
      </c>
      <c r="G42" t="s">
        <v>269</v>
      </c>
      <c r="H42" s="267"/>
      <c r="I42" s="267"/>
      <c r="J42" s="279">
        <f>'Initial unit rates'!J170</f>
        <v>0</v>
      </c>
      <c r="K42" s="279">
        <f>'Initial unit rates'!K170</f>
        <v>0</v>
      </c>
      <c r="L42" s="279">
        <f>'Initial unit rates'!L170</f>
        <v>0</v>
      </c>
      <c r="M42" s="279">
        <f>'Initial unit rates'!M170</f>
        <v>0</v>
      </c>
      <c r="N42" s="279">
        <f>'Initial unit rates'!N170</f>
        <v>0</v>
      </c>
      <c r="O42" s="279">
        <f>'Initial unit rates'!O170</f>
        <v>0</v>
      </c>
      <c r="P42" s="279">
        <f>'Initial unit rates'!P170</f>
        <v>0</v>
      </c>
      <c r="Q42" s="279">
        <f>'Initial unit rates'!Q170</f>
        <v>0</v>
      </c>
      <c r="R42" s="279">
        <f>'Initial unit rates'!R170</f>
        <v>0</v>
      </c>
      <c r="S42" s="279">
        <f>'Initial unit rates'!S170</f>
        <v>0</v>
      </c>
      <c r="T42" s="279">
        <f>'Initial unit rates'!T170</f>
        <v>0</v>
      </c>
      <c r="U42" s="279">
        <f>'Initial unit rates'!U170</f>
        <v>0</v>
      </c>
      <c r="V42" s="279">
        <f>'Initial unit rates'!V170</f>
        <v>0</v>
      </c>
      <c r="W42" s="279">
        <f>'Initial unit rates'!W170</f>
        <v>0</v>
      </c>
      <c r="X42" s="279">
        <f>'Initial unit rates'!X170</f>
        <v>0</v>
      </c>
      <c r="Y42" s="279">
        <f>'Initial unit rates'!Y170</f>
        <v>0</v>
      </c>
      <c r="Z42" s="267"/>
      <c r="AA42" s="267"/>
    </row>
    <row r="43" spans="4:27" x14ac:dyDescent="0.3">
      <c r="D43"/>
      <c r="F43" t="s">
        <v>197</v>
      </c>
      <c r="G43" t="s">
        <v>269</v>
      </c>
      <c r="H43" s="267"/>
      <c r="I43" s="267"/>
      <c r="J43" s="279">
        <f>'Initial unit rates'!J171</f>
        <v>2.5486612461614069</v>
      </c>
      <c r="K43" s="279">
        <f>'Initial unit rates'!K171</f>
        <v>2.5486612461614069</v>
      </c>
      <c r="L43" s="279">
        <f>'Initial unit rates'!L171</f>
        <v>2.3096567484781887</v>
      </c>
      <c r="M43" s="279">
        <f>'Initial unit rates'!M171</f>
        <v>2.3096567484781887</v>
      </c>
      <c r="N43" s="279">
        <f>'Initial unit rates'!N171</f>
        <v>1.7006219435211232</v>
      </c>
      <c r="O43" s="279">
        <f>'Initial unit rates'!O171</f>
        <v>1.6579811465212382</v>
      </c>
      <c r="P43" s="279">
        <f>'Initial unit rates'!P171</f>
        <v>1.499200124997772</v>
      </c>
      <c r="Q43" s="279">
        <f>'Initial unit rates'!Q171</f>
        <v>5.0063017658624016</v>
      </c>
      <c r="R43" s="279">
        <f>'Initial unit rates'!R171</f>
        <v>-1.5155617424427359</v>
      </c>
      <c r="S43" s="279">
        <f>'Initial unit rates'!S171</f>
        <v>-1.4941353276108407</v>
      </c>
      <c r="T43" s="279">
        <f>'Initial unit rates'!T171</f>
        <v>-1.5155617424427359</v>
      </c>
      <c r="U43" s="279">
        <f>'Initial unit rates'!U171</f>
        <v>-1.5155617424427359</v>
      </c>
      <c r="V43" s="279">
        <f>'Initial unit rates'!V171</f>
        <v>-1.4941353276108407</v>
      </c>
      <c r="W43" s="279">
        <f>'Initial unit rates'!W171</f>
        <v>-1.4941353276108407</v>
      </c>
      <c r="X43" s="279">
        <f>'Initial unit rates'!X171</f>
        <v>0</v>
      </c>
      <c r="Y43" s="279">
        <f>'Initial unit rates'!Y171</f>
        <v>0</v>
      </c>
      <c r="Z43" s="267"/>
      <c r="AA43" s="267"/>
    </row>
    <row r="44" spans="4:27" x14ac:dyDescent="0.3">
      <c r="D44"/>
      <c r="F44" t="s">
        <v>198</v>
      </c>
      <c r="G44" t="s">
        <v>269</v>
      </c>
      <c r="H44" s="267"/>
      <c r="I44" s="267"/>
      <c r="J44" s="279">
        <f>'Initial unit rates'!J172</f>
        <v>1.1039500632986248</v>
      </c>
      <c r="K44" s="279">
        <f>'Initial unit rates'!K172</f>
        <v>1.1039500632986248</v>
      </c>
      <c r="L44" s="279">
        <f>'Initial unit rates'!L172</f>
        <v>1.0004255047707182</v>
      </c>
      <c r="M44" s="279">
        <f>'Initial unit rates'!M172</f>
        <v>1.0004255047707182</v>
      </c>
      <c r="N44" s="279">
        <f>'Initial unit rates'!N172</f>
        <v>0.73662268966688682</v>
      </c>
      <c r="O44" s="279">
        <f>'Initial unit rates'!O172</f>
        <v>0.71815287120120208</v>
      </c>
      <c r="P44" s="279">
        <f>'Initial unit rates'!P172</f>
        <v>0</v>
      </c>
      <c r="Q44" s="279">
        <f>'Initial unit rates'!Q172</f>
        <v>2.1684745901950322</v>
      </c>
      <c r="R44" s="279">
        <f>'Initial unit rates'!R172</f>
        <v>-0.65646404912482248</v>
      </c>
      <c r="S44" s="279">
        <f>'Initial unit rates'!S172</f>
        <v>0</v>
      </c>
      <c r="T44" s="279">
        <f>'Initial unit rates'!T172</f>
        <v>-0.65646404912482248</v>
      </c>
      <c r="U44" s="279">
        <f>'Initial unit rates'!U172</f>
        <v>-0.65646404912482248</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2.6256278709923713</v>
      </c>
      <c r="K45" s="279">
        <f>'Initial unit rates'!K173</f>
        <v>2.6256278709923713</v>
      </c>
      <c r="L45" s="279">
        <f>'Initial unit rates'!L173</f>
        <v>2.3794057136324103</v>
      </c>
      <c r="M45" s="279">
        <f>'Initial unit rates'!M173</f>
        <v>2.3794057136324103</v>
      </c>
      <c r="N45" s="279">
        <f>'Initial unit rates'!N173</f>
        <v>1.7519787612635493</v>
      </c>
      <c r="O45" s="279">
        <f>'Initial unit rates'!O173</f>
        <v>0</v>
      </c>
      <c r="P45" s="279">
        <f>'Initial unit rates'!P173</f>
        <v>0</v>
      </c>
      <c r="Q45" s="279">
        <f>'Initial unit rates'!Q173</f>
        <v>5.1574862947534275</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0.99704202557624577</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6.9291353972251904E-2</v>
      </c>
      <c r="K54" s="279">
        <f>'Initial unit rates'!K183</f>
        <v>6.9291353972251904E-2</v>
      </c>
      <c r="L54" s="279">
        <f>'Initial unit rates'!L183</f>
        <v>6.2793454231801521E-2</v>
      </c>
      <c r="M54" s="279">
        <f>'Initial unit rates'!M183</f>
        <v>6.2793454231801521E-2</v>
      </c>
      <c r="N54" s="279">
        <f>'Initial unit rates'!N183</f>
        <v>4.6235409762274242E-2</v>
      </c>
      <c r="O54" s="279">
        <f>'Initial unit rates'!O183</f>
        <v>4.5076119345382616E-2</v>
      </c>
      <c r="P54" s="279">
        <f>'Initial unit rates'!P183</f>
        <v>4.0759283601507733E-2</v>
      </c>
      <c r="Q54" s="279">
        <f>'Initial unit rates'!Q183</f>
        <v>8.764979187235912E-2</v>
      </c>
      <c r="R54" s="279">
        <f>'Initial unit rates'!R183</f>
        <v>-4.120411267702536E-2</v>
      </c>
      <c r="S54" s="279">
        <f>'Initial unit rates'!S183</f>
        <v>-4.0621585165097576E-2</v>
      </c>
      <c r="T54" s="279">
        <f>'Initial unit rates'!T183</f>
        <v>-4.120411267702536E-2</v>
      </c>
      <c r="U54" s="279">
        <f>'Initial unit rates'!U183</f>
        <v>-4.120411267702536E-2</v>
      </c>
      <c r="V54" s="279">
        <f>'Initial unit rates'!V183</f>
        <v>-4.0621585165097576E-2</v>
      </c>
      <c r="W54" s="279">
        <f>'Initial unit rates'!W183</f>
        <v>-4.0621585165097576E-2</v>
      </c>
      <c r="X54" s="279">
        <f>'Initial unit rates'!X183</f>
        <v>-4.0116727988093487E-2</v>
      </c>
      <c r="Y54" s="279">
        <f>'Initial unit rates'!Y183</f>
        <v>-4.0116727988093487E-2</v>
      </c>
      <c r="Z54" s="267"/>
      <c r="AA54" s="267"/>
    </row>
    <row r="55" spans="3:27" x14ac:dyDescent="0.3">
      <c r="D55"/>
      <c r="F55" t="s">
        <v>193</v>
      </c>
      <c r="G55" t="s">
        <v>269</v>
      </c>
      <c r="H55" s="267"/>
      <c r="I55" s="267"/>
      <c r="J55" s="279">
        <f>'Initial unit rates'!J184</f>
        <v>9.8258657170572968E-3</v>
      </c>
      <c r="K55" s="279">
        <f>'Initial unit rates'!K184</f>
        <v>9.8258657170572968E-3</v>
      </c>
      <c r="L55" s="279">
        <f>'Initial unit rates'!L184</f>
        <v>8.9044305504399016E-3</v>
      </c>
      <c r="M55" s="279">
        <f>'Initial unit rates'!M184</f>
        <v>8.9044305504399016E-3</v>
      </c>
      <c r="N55" s="279">
        <f>'Initial unit rates'!N184</f>
        <v>6.5564157958171061E-3</v>
      </c>
      <c r="O55" s="279">
        <f>'Initial unit rates'!O184</f>
        <v>6.3920225301290082E-3</v>
      </c>
      <c r="P55" s="279">
        <f>'Initial unit rates'!P184</f>
        <v>1.9073581920803979E-3</v>
      </c>
      <c r="Q55" s="279">
        <f>'Initial unit rates'!Q184</f>
        <v>1.2429185398956228E-2</v>
      </c>
      <c r="R55" s="279">
        <f>'Initial unit rates'!R184</f>
        <v>-5.8429523302009692E-3</v>
      </c>
      <c r="S55" s="279">
        <f>'Initial unit rates'!S184</f>
        <v>-5.7603469720925683E-3</v>
      </c>
      <c r="T55" s="279">
        <f>'Initial unit rates'!T184</f>
        <v>-5.8429523302009692E-3</v>
      </c>
      <c r="U55" s="279">
        <f>'Initial unit rates'!U184</f>
        <v>-5.8429523302009692E-3</v>
      </c>
      <c r="V55" s="279">
        <f>'Initial unit rates'!V184</f>
        <v>-5.7603469720925683E-3</v>
      </c>
      <c r="W55" s="279">
        <f>'Initial unit rates'!W184</f>
        <v>-5.7603469720925683E-3</v>
      </c>
      <c r="X55" s="279">
        <f>'Initial unit rates'!X184</f>
        <v>-1.8772893683715441E-3</v>
      </c>
      <c r="Y55" s="279">
        <f>'Initial unit rates'!Y184</f>
        <v>-1.8772893683715441E-3</v>
      </c>
      <c r="Z55" s="267"/>
      <c r="AA55" s="267"/>
    </row>
    <row r="56" spans="3:27" x14ac:dyDescent="0.3">
      <c r="D56"/>
      <c r="F56" t="s">
        <v>194</v>
      </c>
      <c r="G56" t="s">
        <v>269</v>
      </c>
      <c r="H56" s="267"/>
      <c r="I56" s="267"/>
      <c r="J56" s="279">
        <f>'Initial unit rates'!J185</f>
        <v>7.2146310412662909E-2</v>
      </c>
      <c r="K56" s="279">
        <f>'Initial unit rates'!K185</f>
        <v>7.2146310412662909E-2</v>
      </c>
      <c r="L56" s="279">
        <f>'Initial unit rates'!L185</f>
        <v>6.5380682887291874E-2</v>
      </c>
      <c r="M56" s="279">
        <f>'Initial unit rates'!M185</f>
        <v>6.5380682887291874E-2</v>
      </c>
      <c r="N56" s="279">
        <f>'Initial unit rates'!N185</f>
        <v>4.8140410506359956E-2</v>
      </c>
      <c r="O56" s="279">
        <f>'Initial unit rates'!O185</f>
        <v>4.6933354770243421E-2</v>
      </c>
      <c r="P56" s="279">
        <f>'Initial unit rates'!P185</f>
        <v>1.400475644146903E-2</v>
      </c>
      <c r="Q56" s="279">
        <f>'Initial unit rates'!Q185</f>
        <v>6.9744972809447248E-2</v>
      </c>
      <c r="R56" s="279">
        <f>'Initial unit rates'!R185</f>
        <v>-4.2901812896677619E-2</v>
      </c>
      <c r="S56" s="279">
        <f>'Initial unit rates'!S185</f>
        <v>-4.229528396788388E-2</v>
      </c>
      <c r="T56" s="279">
        <f>'Initial unit rates'!T185</f>
        <v>-4.2901812896677619E-2</v>
      </c>
      <c r="U56" s="279">
        <f>'Initial unit rates'!U185</f>
        <v>-4.2901812896677619E-2</v>
      </c>
      <c r="V56" s="279">
        <f>'Initial unit rates'!V185</f>
        <v>-4.229528396788388E-2</v>
      </c>
      <c r="W56" s="279">
        <f>'Initial unit rates'!W185</f>
        <v>-4.229528396788388E-2</v>
      </c>
      <c r="X56" s="279">
        <f>'Initial unit rates'!X185</f>
        <v>-1.3783976435766664E-2</v>
      </c>
      <c r="Y56" s="279">
        <f>'Initial unit rates'!Y185</f>
        <v>-1.3783976435766664E-2</v>
      </c>
      <c r="Z56" s="267"/>
      <c r="AA56" s="267"/>
    </row>
    <row r="57" spans="3:27" x14ac:dyDescent="0.3">
      <c r="D57"/>
      <c r="F57" t="s">
        <v>195</v>
      </c>
      <c r="G57" t="s">
        <v>269</v>
      </c>
      <c r="H57" s="267"/>
      <c r="I57" s="267"/>
      <c r="J57" s="279">
        <f>'Initial unit rates'!J186</f>
        <v>1.3219383231235008E-2</v>
      </c>
      <c r="K57" s="279">
        <f>'Initial unit rates'!K186</f>
        <v>1.3219383231235008E-2</v>
      </c>
      <c r="L57" s="279">
        <f>'Initial unit rates'!L186</f>
        <v>1.1979715914277191E-2</v>
      </c>
      <c r="M57" s="279">
        <f>'Initial unit rates'!M186</f>
        <v>1.1979715914277191E-2</v>
      </c>
      <c r="N57" s="279">
        <f>'Initial unit rates'!N186</f>
        <v>8.8207772754079431E-3</v>
      </c>
      <c r="O57" s="279">
        <f>'Initial unit rates'!O186</f>
        <v>8.5996082056950668E-3</v>
      </c>
      <c r="P57" s="279">
        <f>'Initial unit rates'!P186</f>
        <v>0</v>
      </c>
      <c r="Q57" s="279">
        <f>'Initial unit rates'!Q186</f>
        <v>1.2779385650445188E-2</v>
      </c>
      <c r="R57" s="279">
        <f>'Initial unit rates'!R186</f>
        <v>-7.8609079626112115E-3</v>
      </c>
      <c r="S57" s="279">
        <f>'Initial unit rates'!S186</f>
        <v>-7.7497735427816475E-3</v>
      </c>
      <c r="T57" s="279">
        <f>'Initial unit rates'!T186</f>
        <v>-7.8609079626112115E-3</v>
      </c>
      <c r="U57" s="279">
        <f>'Initial unit rates'!U186</f>
        <v>-7.8609079626112115E-3</v>
      </c>
      <c r="V57" s="279">
        <f>'Initial unit rates'!V186</f>
        <v>-7.7497735427816475E-3</v>
      </c>
      <c r="W57" s="279">
        <f>'Initial unit rates'!W186</f>
        <v>-7.7497735427816475E-3</v>
      </c>
      <c r="X57" s="279">
        <f>'Initial unit rates'!X186</f>
        <v>0</v>
      </c>
      <c r="Y57" s="279">
        <f>'Initial unit rates'!Y186</f>
        <v>0</v>
      </c>
      <c r="Z57" s="267"/>
      <c r="AA57" s="267"/>
    </row>
    <row r="58" spans="3:27" x14ac:dyDescent="0.3">
      <c r="D58"/>
      <c r="F58" t="s">
        <v>196</v>
      </c>
      <c r="G58" t="s">
        <v>269</v>
      </c>
      <c r="H58" s="267"/>
      <c r="I58" s="267"/>
      <c r="J58" s="279">
        <f>'Initial unit rates'!J187</f>
        <v>0</v>
      </c>
      <c r="K58" s="279">
        <f>'Initial unit rates'!K187</f>
        <v>0</v>
      </c>
      <c r="L58" s="279">
        <f>'Initial unit rates'!L187</f>
        <v>0</v>
      </c>
      <c r="M58" s="279">
        <f>'Initial unit rates'!M187</f>
        <v>0</v>
      </c>
      <c r="N58" s="279">
        <f>'Initial unit rates'!N187</f>
        <v>0</v>
      </c>
      <c r="O58" s="279">
        <f>'Initial unit rates'!O187</f>
        <v>0</v>
      </c>
      <c r="P58" s="279">
        <f>'Initial unit rates'!P187</f>
        <v>0</v>
      </c>
      <c r="Q58" s="279">
        <f>'Initial unit rates'!Q187</f>
        <v>0</v>
      </c>
      <c r="R58" s="279">
        <f>'Initial unit rates'!R187</f>
        <v>0</v>
      </c>
      <c r="S58" s="279">
        <f>'Initial unit rates'!S187</f>
        <v>0</v>
      </c>
      <c r="T58" s="279">
        <f>'Initial unit rates'!T187</f>
        <v>0</v>
      </c>
      <c r="U58" s="279">
        <f>'Initial unit rates'!U187</f>
        <v>0</v>
      </c>
      <c r="V58" s="279">
        <f>'Initial unit rates'!V187</f>
        <v>0</v>
      </c>
      <c r="W58" s="279">
        <f>'Initial unit rates'!W187</f>
        <v>0</v>
      </c>
      <c r="X58" s="279">
        <f>'Initial unit rates'!X187</f>
        <v>0</v>
      </c>
      <c r="Y58" s="279">
        <f>'Initial unit rates'!Y187</f>
        <v>0</v>
      </c>
      <c r="Z58" s="267"/>
      <c r="AA58" s="267"/>
    </row>
    <row r="59" spans="3:27" x14ac:dyDescent="0.3">
      <c r="D59"/>
      <c r="F59" t="s">
        <v>197</v>
      </c>
      <c r="G59" t="s">
        <v>269</v>
      </c>
      <c r="H59" s="267"/>
      <c r="I59" s="267"/>
      <c r="J59" s="279">
        <f>'Initial unit rates'!J188</f>
        <v>5.0735152545844625E-2</v>
      </c>
      <c r="K59" s="279">
        <f>'Initial unit rates'!K188</f>
        <v>5.0735152545844625E-2</v>
      </c>
      <c r="L59" s="279">
        <f>'Initial unit rates'!L188</f>
        <v>4.5977388183333065E-2</v>
      </c>
      <c r="M59" s="279">
        <f>'Initial unit rates'!M188</f>
        <v>4.5977388183333065E-2</v>
      </c>
      <c r="N59" s="279">
        <f>'Initial unit rates'!N188</f>
        <v>3.3853582486611383E-2</v>
      </c>
      <c r="O59" s="279">
        <f>'Initial unit rates'!O188</f>
        <v>3.3004749655757969E-2</v>
      </c>
      <c r="P59" s="279">
        <f>'Initial unit rates'!P188</f>
        <v>0</v>
      </c>
      <c r="Q59" s="279">
        <f>'Initial unit rates'!Q188</f>
        <v>4.904646979940392E-2</v>
      </c>
      <c r="R59" s="279">
        <f>'Initial unit rates'!R188</f>
        <v>-3.0169665078592676E-2</v>
      </c>
      <c r="S59" s="279">
        <f>'Initial unit rates'!S188</f>
        <v>-2.9743138239592782E-2</v>
      </c>
      <c r="T59" s="279">
        <f>'Initial unit rates'!T188</f>
        <v>-3.0169665078592676E-2</v>
      </c>
      <c r="U59" s="279">
        <f>'Initial unit rates'!U188</f>
        <v>-3.0169665078592676E-2</v>
      </c>
      <c r="V59" s="279">
        <f>'Initial unit rates'!V188</f>
        <v>-2.9743138239592782E-2</v>
      </c>
      <c r="W59" s="279">
        <f>'Initial unit rates'!W188</f>
        <v>-2.9743138239592782E-2</v>
      </c>
      <c r="X59" s="279">
        <f>'Initial unit rates'!X188</f>
        <v>0</v>
      </c>
      <c r="Y59" s="279">
        <f>'Initial unit rates'!Y188</f>
        <v>0</v>
      </c>
      <c r="Z59" s="267"/>
      <c r="AA59" s="267"/>
    </row>
    <row r="60" spans="3:27" x14ac:dyDescent="0.3">
      <c r="D60"/>
      <c r="F60" t="s">
        <v>198</v>
      </c>
      <c r="G60" t="s">
        <v>269</v>
      </c>
      <c r="H60" s="267"/>
      <c r="I60" s="267"/>
      <c r="J60" s="279">
        <f>'Initial unit rates'!J189</f>
        <v>5.7831264353731121E-3</v>
      </c>
      <c r="K60" s="279">
        <f>'Initial unit rates'!K189</f>
        <v>5.7831264353731121E-3</v>
      </c>
      <c r="L60" s="279">
        <f>'Initial unit rates'!L189</f>
        <v>5.2408051556005883E-3</v>
      </c>
      <c r="M60" s="279">
        <f>'Initial unit rates'!M189</f>
        <v>5.2408051556005883E-3</v>
      </c>
      <c r="N60" s="279">
        <f>'Initial unit rates'!N189</f>
        <v>3.8588540289397734E-3</v>
      </c>
      <c r="O60" s="279">
        <f>'Initial unit rates'!O189</f>
        <v>3.7620984790498776E-3</v>
      </c>
      <c r="P60" s="279">
        <f>'Initial unit rates'!P189</f>
        <v>0</v>
      </c>
      <c r="Q60" s="279">
        <f>'Initial unit rates'!Q189</f>
        <v>5.5906392673671585E-3</v>
      </c>
      <c r="R60" s="279">
        <f>'Initial unit rates'!R189</f>
        <v>-3.4389368890673099E-3</v>
      </c>
      <c r="S60" s="279">
        <f>'Initial unit rates'!S189</f>
        <v>0</v>
      </c>
      <c r="T60" s="279">
        <f>'Initial unit rates'!T189</f>
        <v>-3.4389368890673099E-3</v>
      </c>
      <c r="U60" s="279">
        <f>'Initial unit rates'!U189</f>
        <v>-3.4389368890673099E-3</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1.3754551455721922E-2</v>
      </c>
      <c r="K61" s="279">
        <f>'Initial unit rates'!K190</f>
        <v>1.3754551455721922E-2</v>
      </c>
      <c r="L61" s="279">
        <f>'Initial unit rates'!L190</f>
        <v>1.2464697942829998E-2</v>
      </c>
      <c r="M61" s="279">
        <f>'Initial unit rates'!M190</f>
        <v>1.2464697942829998E-2</v>
      </c>
      <c r="N61" s="279">
        <f>'Initial unit rates'!N190</f>
        <v>9.1778740953201345E-3</v>
      </c>
      <c r="O61" s="279">
        <f>'Initial unit rates'!O190</f>
        <v>0</v>
      </c>
      <c r="P61" s="279">
        <f>'Initial unit rates'!P190</f>
        <v>0</v>
      </c>
      <c r="Q61" s="279">
        <f>'Initial unit rates'!Q190</f>
        <v>1.329674118882028E-2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2.3055675731890875E-2</v>
      </c>
      <c r="K66" s="278">
        <f>'Initial unit rates'!K193</f>
        <v>2.3055675731890875E-2</v>
      </c>
      <c r="L66" s="278">
        <f>'Initial unit rates'!L193</f>
        <v>2.0893595461181271E-2</v>
      </c>
      <c r="M66" s="278">
        <f>'Initial unit rates'!M193</f>
        <v>2.0893595461181271E-2</v>
      </c>
      <c r="N66" s="278">
        <f>'Initial unit rates'!N193</f>
        <v>1.5384150456014722E-2</v>
      </c>
      <c r="O66" s="278">
        <f>'Initial unit rates'!O193</f>
        <v>1.499841367359241E-2</v>
      </c>
      <c r="P66" s="278">
        <f>'Initial unit rates'!P193</f>
        <v>1.3562050269025783E-2</v>
      </c>
      <c r="Q66" s="278">
        <f>'Initial unit rates'!Q193</f>
        <v>4.2375764535762084E-2</v>
      </c>
      <c r="R66" s="278">
        <f>'Initial unit rates'!R193</f>
        <v>-1.3710060581039E-2</v>
      </c>
      <c r="S66" s="278">
        <f>'Initial unit rates'!S193</f>
        <v>-1.3516233145868795E-2</v>
      </c>
      <c r="T66" s="278">
        <f>'Initial unit rates'!T193</f>
        <v>-1.3710060581039E-2</v>
      </c>
      <c r="U66" s="278">
        <f>'Initial unit rates'!U193</f>
        <v>-1.3710060581039E-2</v>
      </c>
      <c r="V66" s="278">
        <f>'Initial unit rates'!V193</f>
        <v>-1.3516233145868795E-2</v>
      </c>
      <c r="W66" s="278">
        <f>'Initial unit rates'!W193</f>
        <v>-1.3516233145868795E-2</v>
      </c>
      <c r="X66" s="278">
        <f>'Initial unit rates'!X193</f>
        <v>-1.3348249368721286E-2</v>
      </c>
      <c r="Y66" s="278">
        <f>'Initial unit rates'!Y193</f>
        <v>-1.3348249368721286E-2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5.5070056004560074E-2</v>
      </c>
      <c r="K68" s="279">
        <f>'Initial unit rates'!K195</f>
        <v>5.5070056004560074E-2</v>
      </c>
      <c r="L68" s="279">
        <f>'Initial unit rates'!L195</f>
        <v>4.9905779625115713E-2</v>
      </c>
      <c r="M68" s="279">
        <f>'Initial unit rates'!M195</f>
        <v>4.9905779625115713E-2</v>
      </c>
      <c r="N68" s="279">
        <f>'Initial unit rates'!N195</f>
        <v>3.6746093979082295E-2</v>
      </c>
      <c r="O68" s="279">
        <f>'Initial unit rates'!O195</f>
        <v>3.5824735331518025E-2</v>
      </c>
      <c r="P68" s="279">
        <f>'Initial unit rates'!P195</f>
        <v>3.2393883247535428E-2</v>
      </c>
      <c r="Q68" s="279">
        <f>'Initial unit rates'!Q195</f>
        <v>6.9660623880026959E-2</v>
      </c>
      <c r="R68" s="279">
        <f>'Initial unit rates'!R195</f>
        <v>-3.2747415985703916E-2</v>
      </c>
      <c r="S68" s="279">
        <f>'Initial unit rates'!S195</f>
        <v>-3.2284445919930536E-2</v>
      </c>
      <c r="T68" s="279">
        <f>'Initial unit rates'!T195</f>
        <v>-3.2747415985703916E-2</v>
      </c>
      <c r="U68" s="279">
        <f>'Initial unit rates'!U195</f>
        <v>-3.2747415985703916E-2</v>
      </c>
      <c r="V68" s="279">
        <f>'Initial unit rates'!V195</f>
        <v>-3.2284445919930536E-2</v>
      </c>
      <c r="W68" s="279">
        <f>'Initial unit rates'!W195</f>
        <v>-3.2284445919930536E-2</v>
      </c>
      <c r="X68" s="279">
        <f>'Initial unit rates'!X195</f>
        <v>-3.188320519626027E-2</v>
      </c>
      <c r="Y68" s="279">
        <f>'Initial unit rates'!Y195</f>
        <v>-3.188320519626027E-2</v>
      </c>
      <c r="Z68" s="267"/>
      <c r="AA68" s="267"/>
    </row>
    <row r="69" spans="3:27" x14ac:dyDescent="0.3">
      <c r="D69"/>
      <c r="F69" t="s">
        <v>193</v>
      </c>
      <c r="G69" t="s">
        <v>269</v>
      </c>
      <c r="H69" s="267"/>
      <c r="I69" s="267"/>
      <c r="J69" s="279">
        <f>'Initial unit rates'!J196</f>
        <v>7.8092134777496651E-3</v>
      </c>
      <c r="K69" s="279">
        <f>'Initial unit rates'!K196</f>
        <v>7.8092134777496651E-3</v>
      </c>
      <c r="L69" s="279">
        <f>'Initial unit rates'!L196</f>
        <v>7.0768928732120248E-3</v>
      </c>
      <c r="M69" s="279">
        <f>'Initial unit rates'!M196</f>
        <v>7.0768928732120248E-3</v>
      </c>
      <c r="N69" s="279">
        <f>'Initial unit rates'!N196</f>
        <v>5.2107826498731672E-3</v>
      </c>
      <c r="O69" s="279">
        <f>'Initial unit rates'!O196</f>
        <v>5.0801293168203678E-3</v>
      </c>
      <c r="P69" s="279">
        <f>'Initial unit rates'!P196</f>
        <v>4.5936170762629243E-3</v>
      </c>
      <c r="Q69" s="279">
        <f>'Initial unit rates'!Q196</f>
        <v>9.8782300643985403E-3</v>
      </c>
      <c r="R69" s="279">
        <f>'Initial unit rates'!R196</f>
        <v>-4.6437498130718806E-3</v>
      </c>
      <c r="S69" s="279">
        <f>'Initial unit rates'!S196</f>
        <v>-4.5780983077032865E-3</v>
      </c>
      <c r="T69" s="279">
        <f>'Initial unit rates'!T196</f>
        <v>-4.6437498130718806E-3</v>
      </c>
      <c r="U69" s="279">
        <f>'Initial unit rates'!U196</f>
        <v>-4.6437498130718806E-3</v>
      </c>
      <c r="V69" s="279">
        <f>'Initial unit rates'!V196</f>
        <v>-4.5780983077032865E-3</v>
      </c>
      <c r="W69" s="279">
        <f>'Initial unit rates'!W196</f>
        <v>-4.5780983077032865E-3</v>
      </c>
      <c r="X69" s="279">
        <f>'Initial unit rates'!X196</f>
        <v>-4.5212003363838378E-3</v>
      </c>
      <c r="Y69" s="279">
        <f>'Initial unit rates'!Y196</f>
        <v>-4.5212003363838378E-3</v>
      </c>
      <c r="Z69" s="267"/>
      <c r="AA69" s="267"/>
    </row>
    <row r="70" spans="3:27" x14ac:dyDescent="0.3">
      <c r="D70"/>
      <c r="F70" t="s">
        <v>194</v>
      </c>
      <c r="G70" t="s">
        <v>269</v>
      </c>
      <c r="H70" s="267"/>
      <c r="I70" s="267"/>
      <c r="J70" s="279">
        <f>'Initial unit rates'!J197</f>
        <v>5.733906363756109E-2</v>
      </c>
      <c r="K70" s="279">
        <f>'Initial unit rates'!K197</f>
        <v>5.733906363756109E-2</v>
      </c>
      <c r="L70" s="279">
        <f>'Initial unit rates'!L197</f>
        <v>5.1962007693793867E-2</v>
      </c>
      <c r="M70" s="279">
        <f>'Initial unit rates'!M197</f>
        <v>5.1962007693793867E-2</v>
      </c>
      <c r="N70" s="279">
        <f>'Initial unit rates'!N197</f>
        <v>3.8260114006855771E-2</v>
      </c>
      <c r="O70" s="279">
        <f>'Initial unit rates'!O197</f>
        <v>3.7300793353153679E-2</v>
      </c>
      <c r="P70" s="279">
        <f>'Initial unit rates'!P197</f>
        <v>3.372858260475263E-2</v>
      </c>
      <c r="Q70" s="279">
        <f>'Initial unit rates'!Q197</f>
        <v>5.5430574501270015E-2</v>
      </c>
      <c r="R70" s="279">
        <f>'Initial unit rates'!R197</f>
        <v>-3.4096681670606595E-2</v>
      </c>
      <c r="S70" s="279">
        <f>'Initial unit rates'!S197</f>
        <v>-3.3614636218147496E-2</v>
      </c>
      <c r="T70" s="279">
        <f>'Initial unit rates'!T197</f>
        <v>-3.4096681670606595E-2</v>
      </c>
      <c r="U70" s="279">
        <f>'Initial unit rates'!U197</f>
        <v>-3.4096681670606595E-2</v>
      </c>
      <c r="V70" s="279">
        <f>'Initial unit rates'!V197</f>
        <v>-3.3614636218147496E-2</v>
      </c>
      <c r="W70" s="279">
        <f>'Initial unit rates'!W197</f>
        <v>-3.3614636218147496E-2</v>
      </c>
      <c r="X70" s="279">
        <f>'Initial unit rates'!X197</f>
        <v>-3.319686349268295E-2</v>
      </c>
      <c r="Y70" s="279">
        <f>'Initial unit rates'!Y197</f>
        <v>-3.319686349268295E-2</v>
      </c>
      <c r="Z70" s="267"/>
      <c r="AA70" s="267"/>
    </row>
    <row r="71" spans="3:27" x14ac:dyDescent="0.3">
      <c r="D71"/>
      <c r="F71" t="s">
        <v>195</v>
      </c>
      <c r="G71" t="s">
        <v>269</v>
      </c>
      <c r="H71" s="267"/>
      <c r="I71" s="267"/>
      <c r="J71" s="279">
        <f>'Initial unit rates'!J198</f>
        <v>5.5296044065072582E-2</v>
      </c>
      <c r="K71" s="279">
        <f>'Initial unit rates'!K198</f>
        <v>5.5296044065072582E-2</v>
      </c>
      <c r="L71" s="279">
        <f>'Initial unit rates'!L198</f>
        <v>5.0110575319256841E-2</v>
      </c>
      <c r="M71" s="279">
        <f>'Initial unit rates'!M198</f>
        <v>5.0110575319256841E-2</v>
      </c>
      <c r="N71" s="279">
        <f>'Initial unit rates'!N198</f>
        <v>3.6896886970995288E-2</v>
      </c>
      <c r="O71" s="279">
        <f>'Initial unit rates'!O198</f>
        <v>3.5971747392941629E-2</v>
      </c>
      <c r="P71" s="279">
        <f>'Initial unit rates'!P198</f>
        <v>3.2526816303695257E-2</v>
      </c>
      <c r="Q71" s="279">
        <f>'Initial unit rates'!Q198</f>
        <v>5.345555535313392E-2</v>
      </c>
      <c r="R71" s="279">
        <f>'Initial unit rates'!R198</f>
        <v>-3.2881799815362503E-2</v>
      </c>
      <c r="S71" s="279">
        <f>'Initial unit rates'!S198</f>
        <v>-3.2416929883948328E-2</v>
      </c>
      <c r="T71" s="279">
        <f>'Initial unit rates'!T198</f>
        <v>-3.2881799815362503E-2</v>
      </c>
      <c r="U71" s="279">
        <f>'Initial unit rates'!U198</f>
        <v>-3.2881799815362503E-2</v>
      </c>
      <c r="V71" s="279">
        <f>'Initial unit rates'!V198</f>
        <v>-3.2416929883948328E-2</v>
      </c>
      <c r="W71" s="279">
        <f>'Initial unit rates'!W198</f>
        <v>-3.2416929883948328E-2</v>
      </c>
      <c r="X71" s="279">
        <f>'Initial unit rates'!X198</f>
        <v>-3.2014042610056047E-2</v>
      </c>
      <c r="Y71" s="279">
        <f>'Initial unit rates'!Y198</f>
        <v>-3.2014042610056047E-2</v>
      </c>
      <c r="Z71" s="267"/>
      <c r="AA71" s="267"/>
    </row>
    <row r="72" spans="3:27" x14ac:dyDescent="0.3">
      <c r="D72"/>
      <c r="F72" t="s">
        <v>196</v>
      </c>
      <c r="G72" t="s">
        <v>269</v>
      </c>
      <c r="H72" s="267"/>
      <c r="I72" s="267"/>
      <c r="J72" s="279">
        <f>'Initial unit rates'!J199</f>
        <v>0</v>
      </c>
      <c r="K72" s="279">
        <f>'Initial unit rates'!K199</f>
        <v>0</v>
      </c>
      <c r="L72" s="279">
        <f>'Initial unit rates'!L199</f>
        <v>0</v>
      </c>
      <c r="M72" s="279">
        <f>'Initial unit rates'!M199</f>
        <v>0</v>
      </c>
      <c r="N72" s="279">
        <f>'Initial unit rates'!N199</f>
        <v>0</v>
      </c>
      <c r="O72" s="279">
        <f>'Initial unit rates'!O199</f>
        <v>0</v>
      </c>
      <c r="P72" s="279">
        <f>'Initial unit rates'!P199</f>
        <v>0</v>
      </c>
      <c r="Q72" s="279">
        <f>'Initial unit rates'!Q199</f>
        <v>0</v>
      </c>
      <c r="R72" s="279">
        <f>'Initial unit rates'!R199</f>
        <v>0</v>
      </c>
      <c r="S72" s="279">
        <f>'Initial unit rates'!S199</f>
        <v>0</v>
      </c>
      <c r="T72" s="279">
        <f>'Initial unit rates'!T199</f>
        <v>0</v>
      </c>
      <c r="U72" s="279">
        <f>'Initial unit rates'!U199</f>
        <v>0</v>
      </c>
      <c r="V72" s="279">
        <f>'Initial unit rates'!V199</f>
        <v>0</v>
      </c>
      <c r="W72" s="279">
        <f>'Initial unit rates'!W199</f>
        <v>0</v>
      </c>
      <c r="X72" s="279">
        <f>'Initial unit rates'!X199</f>
        <v>0</v>
      </c>
      <c r="Y72" s="279">
        <f>'Initial unit rates'!Y199</f>
        <v>0</v>
      </c>
      <c r="Z72" s="267"/>
      <c r="AA72" s="267"/>
    </row>
    <row r="73" spans="3:27" x14ac:dyDescent="0.3">
      <c r="D73"/>
      <c r="F73" t="s">
        <v>197</v>
      </c>
      <c r="G73" t="s">
        <v>269</v>
      </c>
      <c r="H73" s="267"/>
      <c r="I73" s="267"/>
      <c r="J73" s="279">
        <f>'Initial unit rates'!J200</f>
        <v>0.21222270220553296</v>
      </c>
      <c r="K73" s="279">
        <f>'Initial unit rates'!K200</f>
        <v>0.21222270220553296</v>
      </c>
      <c r="L73" s="279">
        <f>'Initial unit rates'!L200</f>
        <v>0.1923212027755862</v>
      </c>
      <c r="M73" s="279">
        <f>'Initial unit rates'!M200</f>
        <v>0.1923212027755862</v>
      </c>
      <c r="N73" s="279">
        <f>'Initial unit rates'!N200</f>
        <v>0.14160790682859609</v>
      </c>
      <c r="O73" s="279">
        <f>'Initial unit rates'!O200</f>
        <v>0.13805727993491113</v>
      </c>
      <c r="P73" s="279">
        <f>'Initial unit rates'!P200</f>
        <v>0.12483585339287204</v>
      </c>
      <c r="Q73" s="279">
        <f>'Initial unit rates'!Q200</f>
        <v>0.20515902352054871</v>
      </c>
      <c r="R73" s="279">
        <f>'Initial unit rates'!R200</f>
        <v>-0.12619825754597522</v>
      </c>
      <c r="S73" s="279">
        <f>'Initial unit rates'!S200</f>
        <v>-0.12441411629885965</v>
      </c>
      <c r="T73" s="279">
        <f>'Initial unit rates'!T200</f>
        <v>-0.12619825754597522</v>
      </c>
      <c r="U73" s="279">
        <f>'Initial unit rates'!U200</f>
        <v>-0.12619825754597522</v>
      </c>
      <c r="V73" s="279">
        <f>'Initial unit rates'!V200</f>
        <v>-0.12441411629885965</v>
      </c>
      <c r="W73" s="279">
        <f>'Initial unit rates'!W200</f>
        <v>-0.12441411629885965</v>
      </c>
      <c r="X73" s="279">
        <f>'Initial unit rates'!X200</f>
        <v>0</v>
      </c>
      <c r="Y73" s="279">
        <f>'Initial unit rates'!Y200</f>
        <v>0</v>
      </c>
      <c r="Z73" s="267"/>
      <c r="AA73" s="267"/>
    </row>
    <row r="74" spans="3:27" x14ac:dyDescent="0.3">
      <c r="D74"/>
      <c r="F74" t="s">
        <v>198</v>
      </c>
      <c r="G74" t="s">
        <v>269</v>
      </c>
      <c r="H74" s="267"/>
      <c r="I74" s="267"/>
      <c r="J74" s="279">
        <f>'Initial unit rates'!J201</f>
        <v>9.1924050670155702E-2</v>
      </c>
      <c r="K74" s="279">
        <f>'Initial unit rates'!K201</f>
        <v>9.1924050670155702E-2</v>
      </c>
      <c r="L74" s="279">
        <f>'Initial unit rates'!L201</f>
        <v>8.3303736146788918E-2</v>
      </c>
      <c r="M74" s="279">
        <f>'Initial unit rates'!M201</f>
        <v>8.3303736146788918E-2</v>
      </c>
      <c r="N74" s="279">
        <f>'Initial unit rates'!N201</f>
        <v>6.1337322856249911E-2</v>
      </c>
      <c r="O74" s="279">
        <f>'Initial unit rates'!O201</f>
        <v>5.9799372377371311E-2</v>
      </c>
      <c r="P74" s="279">
        <f>'Initial unit rates'!P201</f>
        <v>0</v>
      </c>
      <c r="Q74" s="279">
        <f>'Initial unit rates'!Q201</f>
        <v>8.8864425330321253E-2</v>
      </c>
      <c r="R74" s="279">
        <f>'Initial unit rates'!R201</f>
        <v>-5.4662648720336299E-2</v>
      </c>
      <c r="S74" s="279">
        <f>'Initial unit rates'!S201</f>
        <v>0</v>
      </c>
      <c r="T74" s="279">
        <f>'Initial unit rates'!T201</f>
        <v>-5.4662648720336299E-2</v>
      </c>
      <c r="U74" s="279">
        <f>'Initial unit rates'!U201</f>
        <v>-5.4662648720336299E-2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0.21863158260337628</v>
      </c>
      <c r="K75" s="279">
        <f>'Initial unit rates'!K202</f>
        <v>0.21863158260337628</v>
      </c>
      <c r="L75" s="279">
        <f>'Initial unit rates'!L202</f>
        <v>0.19812908088546152</v>
      </c>
      <c r="M75" s="279">
        <f>'Initial unit rates'!M202</f>
        <v>0.19812908088546152</v>
      </c>
      <c r="N75" s="279">
        <f>'Initial unit rates'!N202</f>
        <v>0.1458843019966044</v>
      </c>
      <c r="O75" s="279">
        <f>'Initial unit rates'!O202</f>
        <v>0</v>
      </c>
      <c r="P75" s="279">
        <f>'Initial unit rates'!P202</f>
        <v>0</v>
      </c>
      <c r="Q75" s="279">
        <f>'Initial unit rates'!Q202</f>
        <v>0.21135458898370132</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0.99704202557624577</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6.9738286875721759E-3</v>
      </c>
      <c r="K84" s="279">
        <f>'Initial unit rates'!K212</f>
        <v>6.9738286875721759E-3</v>
      </c>
      <c r="L84" s="279">
        <f>'Initial unit rates'!L212</f>
        <v>6.319847533775306E-3</v>
      </c>
      <c r="M84" s="279">
        <f>'Initial unit rates'!M212</f>
        <v>6.319847533775306E-3</v>
      </c>
      <c r="N84" s="279">
        <f>'Initial unit rates'!N212</f>
        <v>4.6533630604321105E-3</v>
      </c>
      <c r="O84" s="279">
        <f>'Initial unit rates'!O212</f>
        <v>4.5366862702833147E-3</v>
      </c>
      <c r="P84" s="279">
        <f>'Initial unit rates'!P212</f>
        <v>4.1022183139748369E-3</v>
      </c>
      <c r="Q84" s="279">
        <f>'Initial unit rates'!Q212</f>
        <v>5.2217857920908032E-3</v>
      </c>
      <c r="R84" s="279">
        <f>'Initial unit rates'!R212</f>
        <v>-4.1469881386365596E-3</v>
      </c>
      <c r="S84" s="279">
        <f>'Initial unit rates'!S212</f>
        <v>-4.088359654112951E-3</v>
      </c>
      <c r="T84" s="279">
        <f>'Initial unit rates'!T212</f>
        <v>-4.1469881386365596E-3</v>
      </c>
      <c r="U84" s="279">
        <f>'Initial unit rates'!U212</f>
        <v>-4.1469881386365596E-3</v>
      </c>
      <c r="V84" s="279">
        <f>'Initial unit rates'!V212</f>
        <v>-4.088359654112951E-3</v>
      </c>
      <c r="W84" s="279">
        <f>'Initial unit rates'!W212</f>
        <v>-4.088359654112951E-3</v>
      </c>
      <c r="X84" s="279">
        <f>'Initial unit rates'!X212</f>
        <v>-4.0375483008591563E-3</v>
      </c>
      <c r="Y84" s="279">
        <f>'Initial unit rates'!Y212</f>
        <v>-4.0375483008591563E-3</v>
      </c>
      <c r="Z84" s="267"/>
      <c r="AA84" s="267"/>
    </row>
    <row r="85" spans="4:27" x14ac:dyDescent="0.3">
      <c r="D85"/>
      <c r="F85" t="s">
        <v>193</v>
      </c>
      <c r="G85" t="s">
        <v>269</v>
      </c>
      <c r="H85" s="267"/>
      <c r="I85" s="267"/>
      <c r="J85" s="279">
        <f>'Initial unit rates'!J213</f>
        <v>9.8892430714064123E-4</v>
      </c>
      <c r="K85" s="279">
        <f>'Initial unit rates'!K213</f>
        <v>9.8892430714064123E-4</v>
      </c>
      <c r="L85" s="279">
        <f>'Initial unit rates'!L213</f>
        <v>8.9618645991561025E-4</v>
      </c>
      <c r="M85" s="279">
        <f>'Initial unit rates'!M213</f>
        <v>8.9618645991561025E-4</v>
      </c>
      <c r="N85" s="279">
        <f>'Initial unit rates'!N213</f>
        <v>6.5987050249921293E-4</v>
      </c>
      <c r="O85" s="279">
        <f>'Initial unit rates'!O213</f>
        <v>6.4332514140324646E-4</v>
      </c>
      <c r="P85" s="279">
        <f>'Initial unit rates'!P213</f>
        <v>1.9196607534516894E-4</v>
      </c>
      <c r="Q85" s="279">
        <f>'Initial unit rates'!Q213</f>
        <v>7.4047573116941396E-4</v>
      </c>
      <c r="R85" s="279">
        <f>'Initial unit rates'!R213</f>
        <v>-5.880639682230755E-4</v>
      </c>
      <c r="S85" s="279">
        <f>'Initial unit rates'!S213</f>
        <v>-5.7975015151869654E-4</v>
      </c>
      <c r="T85" s="279">
        <f>'Initial unit rates'!T213</f>
        <v>-5.880639682230755E-4</v>
      </c>
      <c r="U85" s="279">
        <f>'Initial unit rates'!U213</f>
        <v>-5.880639682230755E-4</v>
      </c>
      <c r="V85" s="279">
        <f>'Initial unit rates'!V213</f>
        <v>-5.7975015151869654E-4</v>
      </c>
      <c r="W85" s="279">
        <f>'Initial unit rates'!W213</f>
        <v>-5.7975015151869654E-4</v>
      </c>
      <c r="X85" s="279">
        <f>'Initial unit rates'!X213</f>
        <v>-1.8893979842371741E-4</v>
      </c>
      <c r="Y85" s="279">
        <f>'Initial unit rates'!Y213</f>
        <v>-1.8893979842371741E-4</v>
      </c>
      <c r="Z85" s="267"/>
      <c r="AA85" s="267"/>
    </row>
    <row r="86" spans="4:27" x14ac:dyDescent="0.3">
      <c r="D86"/>
      <c r="F86" t="s">
        <v>194</v>
      </c>
      <c r="G86" t="s">
        <v>269</v>
      </c>
      <c r="H86" s="267"/>
      <c r="I86" s="267"/>
      <c r="J86" s="279">
        <f>'Initial unit rates'!J214</f>
        <v>7.0380166169131926E-3</v>
      </c>
      <c r="K86" s="279">
        <f>'Initial unit rates'!K214</f>
        <v>7.0380166169131926E-3</v>
      </c>
      <c r="L86" s="279">
        <f>'Initial unit rates'!L214</f>
        <v>6.3780161446083889E-3</v>
      </c>
      <c r="M86" s="279">
        <f>'Initial unit rates'!M214</f>
        <v>6.3780161446083889E-3</v>
      </c>
      <c r="N86" s="279">
        <f>'Initial unit rates'!N214</f>
        <v>4.6961931545887676E-3</v>
      </c>
      <c r="O86" s="279">
        <f>'Initial unit rates'!O214</f>
        <v>4.5784424577099215E-3</v>
      </c>
      <c r="P86" s="279">
        <f>'Initial unit rates'!P214</f>
        <v>1.3661919505946231E-3</v>
      </c>
      <c r="Q86" s="279">
        <f>'Initial unit rates'!Q214</f>
        <v>5.2698477150993151E-3</v>
      </c>
      <c r="R86" s="279">
        <f>'Initial unit rates'!R214</f>
        <v>-4.1851574991909985E-3</v>
      </c>
      <c r="S86" s="279">
        <f>'Initial unit rates'!S214</f>
        <v>-4.1259893912853774E-3</v>
      </c>
      <c r="T86" s="279">
        <f>'Initial unit rates'!T214</f>
        <v>-4.1851574991909985E-3</v>
      </c>
      <c r="U86" s="279">
        <f>'Initial unit rates'!U214</f>
        <v>-4.1851574991909985E-3</v>
      </c>
      <c r="V86" s="279">
        <f>'Initial unit rates'!V214</f>
        <v>-4.1259893912853774E-3</v>
      </c>
      <c r="W86" s="279">
        <f>'Initial unit rates'!W214</f>
        <v>-4.1259893912853774E-3</v>
      </c>
      <c r="X86" s="279">
        <f>'Initial unit rates'!X214</f>
        <v>-1.3446544202631663E-3</v>
      </c>
      <c r="Y86" s="279">
        <f>'Initial unit rates'!Y214</f>
        <v>-1.3446544202631663E-3</v>
      </c>
      <c r="Z86" s="267"/>
      <c r="AA86" s="267"/>
    </row>
    <row r="87" spans="4:27" x14ac:dyDescent="0.3">
      <c r="D87"/>
      <c r="F87" t="s">
        <v>195</v>
      </c>
      <c r="G87" t="s">
        <v>269</v>
      </c>
      <c r="H87" s="267"/>
      <c r="I87" s="267"/>
      <c r="J87" s="279">
        <f>'Initial unit rates'!J215</f>
        <v>1.2895772259816881E-3</v>
      </c>
      <c r="K87" s="279">
        <f>'Initial unit rates'!K215</f>
        <v>1.2895772259816881E-3</v>
      </c>
      <c r="L87" s="279">
        <f>'Initial unit rates'!L215</f>
        <v>1.1686452042845401E-3</v>
      </c>
      <c r="M87" s="279">
        <f>'Initial unit rates'!M215</f>
        <v>1.1686452042845401E-3</v>
      </c>
      <c r="N87" s="279">
        <f>'Initial unit rates'!N215</f>
        <v>8.6048443341483973E-4</v>
      </c>
      <c r="O87" s="279">
        <f>'Initial unit rates'!O215</f>
        <v>8.3890894911241244E-4</v>
      </c>
      <c r="P87" s="279">
        <f>'Initial unit rates'!P215</f>
        <v>0</v>
      </c>
      <c r="Q87" s="279">
        <f>'Initial unit rates'!Q215</f>
        <v>9.6559527601176919E-4</v>
      </c>
      <c r="R87" s="279">
        <f>'Initial unit rates'!R215</f>
        <v>-7.6684726562499886E-4</v>
      </c>
      <c r="S87" s="279">
        <f>'Initial unit rates'!S215</f>
        <v>-7.5600588109684167E-4</v>
      </c>
      <c r="T87" s="279">
        <f>'Initial unit rates'!T215</f>
        <v>-7.6684726562499886E-4</v>
      </c>
      <c r="U87" s="279">
        <f>'Initial unit rates'!U215</f>
        <v>-7.6684726562499886E-4</v>
      </c>
      <c r="V87" s="279">
        <f>'Initial unit rates'!V215</f>
        <v>-7.5600588109684167E-4</v>
      </c>
      <c r="W87" s="279">
        <f>'Initial unit rates'!W215</f>
        <v>-7.5600588109684167E-4</v>
      </c>
      <c r="X87" s="279">
        <f>'Initial unit rates'!X215</f>
        <v>0</v>
      </c>
      <c r="Y87" s="279">
        <f>'Initial unit rates'!Y215</f>
        <v>0</v>
      </c>
      <c r="Z87" s="267"/>
      <c r="AA87" s="267"/>
    </row>
    <row r="88" spans="4:27" x14ac:dyDescent="0.3">
      <c r="D88"/>
      <c r="F88" t="s">
        <v>196</v>
      </c>
      <c r="G88" t="s">
        <v>269</v>
      </c>
      <c r="H88" s="267"/>
      <c r="I88" s="267"/>
      <c r="J88" s="279">
        <f>'Initial unit rates'!J216</f>
        <v>0</v>
      </c>
      <c r="K88" s="279">
        <f>'Initial unit rates'!K216</f>
        <v>0</v>
      </c>
      <c r="L88" s="279">
        <f>'Initial unit rates'!L216</f>
        <v>0</v>
      </c>
      <c r="M88" s="279">
        <f>'Initial unit rates'!M216</f>
        <v>0</v>
      </c>
      <c r="N88" s="279">
        <f>'Initial unit rates'!N216</f>
        <v>0</v>
      </c>
      <c r="O88" s="279">
        <f>'Initial unit rates'!O216</f>
        <v>0</v>
      </c>
      <c r="P88" s="279">
        <f>'Initial unit rates'!P216</f>
        <v>0</v>
      </c>
      <c r="Q88" s="279">
        <f>'Initial unit rates'!Q216</f>
        <v>0</v>
      </c>
      <c r="R88" s="279">
        <f>'Initial unit rates'!R216</f>
        <v>0</v>
      </c>
      <c r="S88" s="279">
        <f>'Initial unit rates'!S216</f>
        <v>0</v>
      </c>
      <c r="T88" s="279">
        <f>'Initial unit rates'!T216</f>
        <v>0</v>
      </c>
      <c r="U88" s="279">
        <f>'Initial unit rates'!U216</f>
        <v>0</v>
      </c>
      <c r="V88" s="279">
        <f>'Initial unit rates'!V216</f>
        <v>0</v>
      </c>
      <c r="W88" s="279">
        <f>'Initial unit rates'!W216</f>
        <v>0</v>
      </c>
      <c r="X88" s="279">
        <f>'Initial unit rates'!X216</f>
        <v>0</v>
      </c>
      <c r="Y88" s="279">
        <f>'Initial unit rates'!Y216</f>
        <v>0</v>
      </c>
      <c r="Z88" s="267"/>
      <c r="AA88" s="267"/>
    </row>
    <row r="89" spans="4:27" x14ac:dyDescent="0.3">
      <c r="D89"/>
      <c r="F89" t="s">
        <v>197</v>
      </c>
      <c r="G89" t="s">
        <v>269</v>
      </c>
      <c r="H89" s="267"/>
      <c r="I89" s="267"/>
      <c r="J89" s="279">
        <f>'Initial unit rates'!J217</f>
        <v>4.9493154208008873E-3</v>
      </c>
      <c r="K89" s="279">
        <f>'Initial unit rates'!K217</f>
        <v>4.9493154208008873E-3</v>
      </c>
      <c r="L89" s="279">
        <f>'Initial unit rates'!L217</f>
        <v>4.4851860086218753E-3</v>
      </c>
      <c r="M89" s="279">
        <f>'Initial unit rates'!M217</f>
        <v>4.4851860086218753E-3</v>
      </c>
      <c r="N89" s="279">
        <f>'Initial unit rates'!N217</f>
        <v>3.3024845583925154E-3</v>
      </c>
      <c r="O89" s="279">
        <f>'Initial unit rates'!O217</f>
        <v>3.2196792210945012E-3</v>
      </c>
      <c r="P89" s="279">
        <f>'Initial unit rates'!P217</f>
        <v>0</v>
      </c>
      <c r="Q89" s="279">
        <f>'Initial unit rates'!Q217</f>
        <v>3.7058932908647689E-3</v>
      </c>
      <c r="R89" s="279">
        <f>'Initial unit rates'!R217</f>
        <v>-2.9431110605009207E-3</v>
      </c>
      <c r="S89" s="279">
        <f>'Initial unit rates'!S217</f>
        <v>-2.9015025158190041E-3</v>
      </c>
      <c r="T89" s="279">
        <f>'Initial unit rates'!T217</f>
        <v>-2.9431110605009207E-3</v>
      </c>
      <c r="U89" s="279">
        <f>'Initial unit rates'!U217</f>
        <v>-2.9431110605009207E-3</v>
      </c>
      <c r="V89" s="279">
        <f>'Initial unit rates'!V217</f>
        <v>-2.9015025158190041E-3</v>
      </c>
      <c r="W89" s="279">
        <f>'Initial unit rates'!W217</f>
        <v>-2.9015025158190041E-3</v>
      </c>
      <c r="X89" s="279">
        <f>'Initial unit rates'!X217</f>
        <v>0</v>
      </c>
      <c r="Y89" s="279">
        <f>'Initial unit rates'!Y217</f>
        <v>0</v>
      </c>
      <c r="Z89" s="267"/>
      <c r="AA89" s="267"/>
    </row>
    <row r="90" spans="4:27" x14ac:dyDescent="0.3">
      <c r="D90"/>
      <c r="F90" t="s">
        <v>198</v>
      </c>
      <c r="G90" t="s">
        <v>269</v>
      </c>
      <c r="H90" s="267"/>
      <c r="I90" s="267"/>
      <c r="J90" s="279">
        <f>'Initial unit rates'!J218</f>
        <v>5.6415552946588487E-4</v>
      </c>
      <c r="K90" s="279">
        <f>'Initial unit rates'!K218</f>
        <v>5.6415552946588487E-4</v>
      </c>
      <c r="L90" s="279">
        <f>'Initial unit rates'!L218</f>
        <v>5.1125100590933823E-4</v>
      </c>
      <c r="M90" s="279">
        <f>'Initial unit rates'!M218</f>
        <v>5.1125100590933823E-4</v>
      </c>
      <c r="N90" s="279">
        <f>'Initial unit rates'!N218</f>
        <v>3.7643891451382859E-4</v>
      </c>
      <c r="O90" s="279">
        <f>'Initial unit rates'!O218</f>
        <v>3.6700021745491229E-4</v>
      </c>
      <c r="P90" s="279">
        <f>'Initial unit rates'!P218</f>
        <v>0</v>
      </c>
      <c r="Q90" s="279">
        <f>'Initial unit rates'!Q218</f>
        <v>4.2242209556197006E-4</v>
      </c>
      <c r="R90" s="279">
        <f>'Initial unit rates'!R218</f>
        <v>-3.3547515917769512E-4</v>
      </c>
      <c r="S90" s="279">
        <f>'Initial unit rates'!S218</f>
        <v>0</v>
      </c>
      <c r="T90" s="279">
        <f>'Initial unit rates'!T218</f>
        <v>-3.3547515917769512E-4</v>
      </c>
      <c r="U90" s="279">
        <f>'Initial unit rates'!U218</f>
        <v>-3.3547515917769512E-4</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1.3417839547144401E-3</v>
      </c>
      <c r="K91" s="279">
        <f>'Initial unit rates'!K219</f>
        <v>1.3417839547144401E-3</v>
      </c>
      <c r="L91" s="279">
        <f>'Initial unit rates'!L219</f>
        <v>1.2159561694099286E-3</v>
      </c>
      <c r="M91" s="279">
        <f>'Initial unit rates'!M219</f>
        <v>1.2159561694099286E-3</v>
      </c>
      <c r="N91" s="279">
        <f>'Initial unit rates'!N219</f>
        <v>8.953199411215198E-4</v>
      </c>
      <c r="O91" s="279">
        <f>'Initial unit rates'!O219</f>
        <v>0</v>
      </c>
      <c r="P91" s="279">
        <f>'Initial unit rates'!P219</f>
        <v>0</v>
      </c>
      <c r="Q91" s="279">
        <f>'Initial unit rates'!Q219</f>
        <v>1.0046860490377882E-3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5.5425260782839079E-3</v>
      </c>
      <c r="K98" s="279">
        <f>'Initial unit rates'!K224</f>
        <v>5.5425260782839079E-3</v>
      </c>
      <c r="L98" s="279">
        <f>'Initial unit rates'!L224</f>
        <v>5.0227674547196647E-3</v>
      </c>
      <c r="M98" s="279">
        <f>'Initial unit rates'!M224</f>
        <v>5.0227674547196647E-3</v>
      </c>
      <c r="N98" s="279">
        <f>'Initial unit rates'!N224</f>
        <v>3.6983108231680457E-3</v>
      </c>
      <c r="O98" s="279">
        <f>'Initial unit rates'!O224</f>
        <v>3.6055806772035221E-3</v>
      </c>
      <c r="P98" s="279">
        <f>'Initial unit rates'!P224</f>
        <v>3.2602825510379403E-3</v>
      </c>
      <c r="Q98" s="279">
        <f>'Initial unit rates'!Q224</f>
        <v>4.1500709616586967E-3</v>
      </c>
      <c r="R98" s="279">
        <f>'Initial unit rates'!R224</f>
        <v>-3.2958638553435629E-3</v>
      </c>
      <c r="S98" s="279">
        <f>'Initial unit rates'!S224</f>
        <v>-3.2492682306214586E-3</v>
      </c>
      <c r="T98" s="279">
        <f>'Initial unit rates'!T224</f>
        <v>-3.2958638553435629E-3</v>
      </c>
      <c r="U98" s="279">
        <f>'Initial unit rates'!U224</f>
        <v>-3.2958638553435629E-3</v>
      </c>
      <c r="V98" s="279">
        <f>'Initial unit rates'!V224</f>
        <v>-3.2492682306214586E-3</v>
      </c>
      <c r="W98" s="279">
        <f>'Initial unit rates'!W224</f>
        <v>-3.2492682306214586E-3</v>
      </c>
      <c r="X98" s="279">
        <f>'Initial unit rates'!X224</f>
        <v>-3.2088853558623004E-3</v>
      </c>
      <c r="Y98" s="279">
        <f>'Initial unit rates'!Y224</f>
        <v>-3.2088853558623004E-3</v>
      </c>
      <c r="Z98" s="267"/>
      <c r="AA98" s="267"/>
    </row>
    <row r="99" spans="3:42" x14ac:dyDescent="0.3">
      <c r="D99"/>
      <c r="F99" t="s">
        <v>193</v>
      </c>
      <c r="G99" t="s">
        <v>269</v>
      </c>
      <c r="H99" s="267"/>
      <c r="I99" s="267"/>
      <c r="J99" s="279">
        <f>'Initial unit rates'!J225</f>
        <v>7.8595833183335898E-4</v>
      </c>
      <c r="K99" s="279">
        <f>'Initial unit rates'!K225</f>
        <v>7.8595833183335898E-4</v>
      </c>
      <c r="L99" s="279">
        <f>'Initial unit rates'!L225</f>
        <v>7.1225392071058095E-4</v>
      </c>
      <c r="M99" s="279">
        <f>'Initial unit rates'!M225</f>
        <v>7.1225392071058095E-4</v>
      </c>
      <c r="N99" s="279">
        <f>'Initial unit rates'!N225</f>
        <v>5.2443924739789408E-4</v>
      </c>
      <c r="O99" s="279">
        <f>'Initial unit rates'!O225</f>
        <v>5.1128964200072694E-4</v>
      </c>
      <c r="P99" s="279">
        <f>'Initial unit rates'!P225</f>
        <v>4.6232461497277769E-4</v>
      </c>
      <c r="Q99" s="279">
        <f>'Initial unit rates'!Q225</f>
        <v>5.8850112817606347E-4</v>
      </c>
      <c r="R99" s="279">
        <f>'Initial unit rates'!R225</f>
        <v>-4.6737022453446713E-4</v>
      </c>
      <c r="S99" s="279">
        <f>'Initial unit rates'!S225</f>
        <v>-4.6076272842889032E-4</v>
      </c>
      <c r="T99" s="279">
        <f>'Initial unit rates'!T225</f>
        <v>-4.6737022453446713E-4</v>
      </c>
      <c r="U99" s="279">
        <f>'Initial unit rates'!U225</f>
        <v>-4.6737022453446713E-4</v>
      </c>
      <c r="V99" s="279">
        <f>'Initial unit rates'!V225</f>
        <v>-4.6076272842889032E-4</v>
      </c>
      <c r="W99" s="279">
        <f>'Initial unit rates'!W225</f>
        <v>-4.6076272842889032E-4</v>
      </c>
      <c r="X99" s="279">
        <f>'Initial unit rates'!X225</f>
        <v>-4.5503623180405704E-4</v>
      </c>
      <c r="Y99" s="279">
        <f>'Initial unit rates'!Y225</f>
        <v>-4.5503623180405704E-4</v>
      </c>
      <c r="Z99" s="267"/>
      <c r="AA99" s="267"/>
    </row>
    <row r="100" spans="3:42" x14ac:dyDescent="0.3">
      <c r="D100"/>
      <c r="F100" t="s">
        <v>194</v>
      </c>
      <c r="G100" t="s">
        <v>269</v>
      </c>
      <c r="H100" s="267"/>
      <c r="I100" s="267"/>
      <c r="J100" s="279">
        <f>'Initial unit rates'!J226</f>
        <v>5.5935401321446851E-3</v>
      </c>
      <c r="K100" s="279">
        <f>'Initial unit rates'!K226</f>
        <v>5.5935401321446851E-3</v>
      </c>
      <c r="L100" s="279">
        <f>'Initial unit rates'!L226</f>
        <v>5.068997589832455E-3</v>
      </c>
      <c r="M100" s="279">
        <f>'Initial unit rates'!M226</f>
        <v>5.068997589832455E-3</v>
      </c>
      <c r="N100" s="279">
        <f>'Initial unit rates'!N226</f>
        <v>3.7323505055912283E-3</v>
      </c>
      <c r="O100" s="279">
        <f>'Initial unit rates'!O226</f>
        <v>3.6387668605914378E-3</v>
      </c>
      <c r="P100" s="279">
        <f>'Initial unit rates'!P226</f>
        <v>3.2902905703617747E-3</v>
      </c>
      <c r="Q100" s="279">
        <f>'Initial unit rates'!Q226</f>
        <v>4.1882686968743432E-3</v>
      </c>
      <c r="R100" s="279">
        <f>'Initial unit rates'!R226</f>
        <v>-3.3261993691254569E-3</v>
      </c>
      <c r="S100" s="279">
        <f>'Initial unit rates'!S226</f>
        <v>-3.2791748728607235E-3</v>
      </c>
      <c r="T100" s="279">
        <f>'Initial unit rates'!T226</f>
        <v>-3.3261993691254569E-3</v>
      </c>
      <c r="U100" s="279">
        <f>'Initial unit rates'!U226</f>
        <v>-3.3261993691254569E-3</v>
      </c>
      <c r="V100" s="279">
        <f>'Initial unit rates'!V226</f>
        <v>-3.2791748728607235E-3</v>
      </c>
      <c r="W100" s="279">
        <f>'Initial unit rates'!W226</f>
        <v>-3.2791748728607235E-3</v>
      </c>
      <c r="X100" s="279">
        <f>'Initial unit rates'!X226</f>
        <v>-3.238420309431288E-3</v>
      </c>
      <c r="Y100" s="279">
        <f>'Initial unit rates'!Y226</f>
        <v>-3.238420309431288E-3</v>
      </c>
      <c r="Z100" s="267"/>
      <c r="AA100" s="267"/>
    </row>
    <row r="101" spans="3:42" x14ac:dyDescent="0.3">
      <c r="D101"/>
      <c r="F101" t="s">
        <v>195</v>
      </c>
      <c r="G101" t="s">
        <v>269</v>
      </c>
      <c r="H101" s="267"/>
      <c r="I101" s="267"/>
      <c r="J101" s="279">
        <f>'Initial unit rates'!J227</f>
        <v>5.3942394940717335E-3</v>
      </c>
      <c r="K101" s="279">
        <f>'Initial unit rates'!K227</f>
        <v>5.3942394940717335E-3</v>
      </c>
      <c r="L101" s="279">
        <f>'Initial unit rates'!L227</f>
        <v>4.8883866654130196E-3</v>
      </c>
      <c r="M101" s="279">
        <f>'Initial unit rates'!M227</f>
        <v>4.8883866654130196E-3</v>
      </c>
      <c r="N101" s="279">
        <f>'Initial unit rates'!N227</f>
        <v>3.5993649866349134E-3</v>
      </c>
      <c r="O101" s="279">
        <f>'Initial unit rates'!O227</f>
        <v>3.5091157738052726E-3</v>
      </c>
      <c r="P101" s="279">
        <f>'Initial unit rates'!P227</f>
        <v>3.1730558684330179E-3</v>
      </c>
      <c r="Q101" s="279">
        <f>'Initial unit rates'!Q227</f>
        <v>4.0390385842823066E-3</v>
      </c>
      <c r="R101" s="279">
        <f>'Initial unit rates'!R227</f>
        <v>-3.2076852187012997E-3</v>
      </c>
      <c r="S101" s="279">
        <f>'Initial unit rates'!S227</f>
        <v>-3.1623362288044853E-3</v>
      </c>
      <c r="T101" s="279">
        <f>'Initial unit rates'!T227</f>
        <v>-3.2076852187012997E-3</v>
      </c>
      <c r="U101" s="279">
        <f>'Initial unit rates'!U227</f>
        <v>-3.2076852187012997E-3</v>
      </c>
      <c r="V101" s="279">
        <f>'Initial unit rates'!V227</f>
        <v>-3.1623362288044853E-3</v>
      </c>
      <c r="W101" s="279">
        <f>'Initial unit rates'!W227</f>
        <v>-3.1623362288044853E-3</v>
      </c>
      <c r="X101" s="279">
        <f>'Initial unit rates'!X227</f>
        <v>-3.1230337708939137E-3</v>
      </c>
      <c r="Y101" s="279">
        <f>'Initial unit rates'!Y227</f>
        <v>-3.1230337708939137E-3</v>
      </c>
      <c r="Z101" s="267"/>
      <c r="AA101" s="267"/>
    </row>
    <row r="102" spans="3:42" x14ac:dyDescent="0.3">
      <c r="D102"/>
      <c r="F102" t="s">
        <v>196</v>
      </c>
      <c r="G102" t="s">
        <v>269</v>
      </c>
      <c r="H102" s="267"/>
      <c r="I102" s="267"/>
      <c r="J102" s="279">
        <f>'Initial unit rates'!J228</f>
        <v>0</v>
      </c>
      <c r="K102" s="279">
        <f>'Initial unit rates'!K228</f>
        <v>0</v>
      </c>
      <c r="L102" s="279">
        <f>'Initial unit rates'!L228</f>
        <v>0</v>
      </c>
      <c r="M102" s="279">
        <f>'Initial unit rates'!M228</f>
        <v>0</v>
      </c>
      <c r="N102" s="279">
        <f>'Initial unit rates'!N228</f>
        <v>0</v>
      </c>
      <c r="O102" s="279">
        <f>'Initial unit rates'!O228</f>
        <v>0</v>
      </c>
      <c r="P102" s="279">
        <f>'Initial unit rates'!P228</f>
        <v>0</v>
      </c>
      <c r="Q102" s="279">
        <f>'Initial unit rates'!Q228</f>
        <v>0</v>
      </c>
      <c r="R102" s="279">
        <f>'Initial unit rates'!R228</f>
        <v>0</v>
      </c>
      <c r="S102" s="279">
        <f>'Initial unit rates'!S228</f>
        <v>0</v>
      </c>
      <c r="T102" s="279">
        <f>'Initial unit rates'!T228</f>
        <v>0</v>
      </c>
      <c r="U102" s="279">
        <f>'Initial unit rates'!U228</f>
        <v>0</v>
      </c>
      <c r="V102" s="279">
        <f>'Initial unit rates'!V228</f>
        <v>0</v>
      </c>
      <c r="W102" s="279">
        <f>'Initial unit rates'!W228</f>
        <v>0</v>
      </c>
      <c r="X102" s="279">
        <f>'Initial unit rates'!X228</f>
        <v>0</v>
      </c>
      <c r="Y102" s="279">
        <f>'Initial unit rates'!Y228</f>
        <v>0</v>
      </c>
      <c r="Z102" s="267"/>
      <c r="AA102" s="267"/>
    </row>
    <row r="103" spans="3:42" x14ac:dyDescent="0.3">
      <c r="D103"/>
      <c r="F103" t="s">
        <v>197</v>
      </c>
      <c r="G103" t="s">
        <v>269</v>
      </c>
      <c r="H103" s="267"/>
      <c r="I103" s="267"/>
      <c r="J103" s="279">
        <f>'Initial unit rates'!J229</f>
        <v>2.0702748291153143E-2</v>
      </c>
      <c r="K103" s="279">
        <f>'Initial unit rates'!K229</f>
        <v>2.0702748291153143E-2</v>
      </c>
      <c r="L103" s="279">
        <f>'Initial unit rates'!L229</f>
        <v>1.8761317289508056E-2</v>
      </c>
      <c r="M103" s="279">
        <f>'Initial unit rates'!M229</f>
        <v>1.8761317289508056E-2</v>
      </c>
      <c r="N103" s="279">
        <f>'Initial unit rates'!N229</f>
        <v>1.3814134023560925E-2</v>
      </c>
      <c r="O103" s="279">
        <f>'Initial unit rates'!O229</f>
        <v>1.3467763281449803E-2</v>
      </c>
      <c r="P103" s="279">
        <f>'Initial unit rates'!P229</f>
        <v>1.2177986726419815E-2</v>
      </c>
      <c r="Q103" s="279">
        <f>'Initial unit rates'!Q229</f>
        <v>1.5501573343295119E-2</v>
      </c>
      <c r="R103" s="279">
        <f>'Initial unit rates'!R229</f>
        <v>-1.2310891971520318E-2</v>
      </c>
      <c r="S103" s="279">
        <f>'Initial unit rates'!S229</f>
        <v>-1.2136845430923896E-2</v>
      </c>
      <c r="T103" s="279">
        <f>'Initial unit rates'!T229</f>
        <v>-1.2310891971520318E-2</v>
      </c>
      <c r="U103" s="279">
        <f>'Initial unit rates'!U229</f>
        <v>-1.2310891971520318E-2</v>
      </c>
      <c r="V103" s="279">
        <f>'Initial unit rates'!V229</f>
        <v>-1.2136845430923896E-2</v>
      </c>
      <c r="W103" s="279">
        <f>'Initial unit rates'!W229</f>
        <v>-1.2136845430923896E-2</v>
      </c>
      <c r="X103" s="279">
        <f>'Initial unit rates'!X229</f>
        <v>0</v>
      </c>
      <c r="Y103" s="279">
        <f>'Initial unit rates'!Y229</f>
        <v>0</v>
      </c>
      <c r="Z103" s="267"/>
      <c r="AA103" s="267"/>
    </row>
    <row r="104" spans="3:42" x14ac:dyDescent="0.3">
      <c r="D104"/>
      <c r="F104" t="s">
        <v>198</v>
      </c>
      <c r="G104" t="s">
        <v>269</v>
      </c>
      <c r="H104" s="267"/>
      <c r="I104" s="267"/>
      <c r="J104" s="279">
        <f>'Initial unit rates'!J230</f>
        <v>8.9673746642069899E-3</v>
      </c>
      <c r="K104" s="279">
        <f>'Initial unit rates'!K230</f>
        <v>8.9673746642069899E-3</v>
      </c>
      <c r="L104" s="279">
        <f>'Initial unit rates'!L230</f>
        <v>8.1264457724666717E-3</v>
      </c>
      <c r="M104" s="279">
        <f>'Initial unit rates'!M230</f>
        <v>8.1264457724666717E-3</v>
      </c>
      <c r="N104" s="279">
        <f>'Initial unit rates'!N230</f>
        <v>5.9835783012333619E-3</v>
      </c>
      <c r="O104" s="279">
        <f>'Initial unit rates'!O230</f>
        <v>5.8335481615848428E-3</v>
      </c>
      <c r="P104" s="279">
        <f>'Initial unit rates'!P230</f>
        <v>0</v>
      </c>
      <c r="Q104" s="279">
        <f>'Initial unit rates'!Q230</f>
        <v>6.7144909506248133E-3</v>
      </c>
      <c r="R104" s="279">
        <f>'Initial unit rates'!R230</f>
        <v>-5.3324505136535883E-3</v>
      </c>
      <c r="S104" s="279">
        <f>'Initial unit rates'!S230</f>
        <v>0</v>
      </c>
      <c r="T104" s="279">
        <f>'Initial unit rates'!T230</f>
        <v>-5.3324505136535883E-3</v>
      </c>
      <c r="U104" s="279">
        <f>'Initial unit rates'!U230</f>
        <v>-5.3324505136535883E-3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2.1327947368941513E-2</v>
      </c>
      <c r="K105" s="279">
        <f>'Initial unit rates'!K231</f>
        <v>2.1327947368941513E-2</v>
      </c>
      <c r="L105" s="279">
        <f>'Initial unit rates'!L231</f>
        <v>1.9327887394236992E-2</v>
      </c>
      <c r="M105" s="279">
        <f>'Initial unit rates'!M231</f>
        <v>1.9327887394236992E-2</v>
      </c>
      <c r="N105" s="279">
        <f>'Initial unit rates'!N231</f>
        <v>1.4231304909788911E-2</v>
      </c>
      <c r="O105" s="279">
        <f>'Initial unit rates'!O231</f>
        <v>0</v>
      </c>
      <c r="P105" s="279">
        <f>'Initial unit rates'!P231</f>
        <v>0</v>
      </c>
      <c r="Q105" s="279">
        <f>'Initial unit rates'!Q231</f>
        <v>1.5969702947258781E-2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0.99704202557624577</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3.2597974437126167</v>
      </c>
      <c r="K129" s="282">
        <f t="shared" si="14"/>
        <v>3.2597974437126167</v>
      </c>
      <c r="L129" s="282">
        <f t="shared" ref="L129:M129" si="15">L24 * (1 - L$113)</f>
        <v>2.9541050917937408</v>
      </c>
      <c r="M129" s="282">
        <f t="shared" si="15"/>
        <v>2.9541050917937408</v>
      </c>
      <c r="N129" s="282">
        <f t="shared" ref="N129:P129" si="16">N24 * (1 - N$113)</f>
        <v>2.1751353078253142</v>
      </c>
      <c r="O129" s="282">
        <f t="shared" si="16"/>
        <v>2.1205967294766039</v>
      </c>
      <c r="P129" s="282">
        <f t="shared" si="16"/>
        <v>1.917512083036504</v>
      </c>
      <c r="Q129" s="282">
        <f t="shared" ref="Q129:S129" si="17">Q24 * (1 - Q$113)</f>
        <v>7.3585871471964408</v>
      </c>
      <c r="R129" s="282">
        <f t="shared" si="17"/>
        <v>-1.9384389750675373</v>
      </c>
      <c r="S129" s="282">
        <f t="shared" si="17"/>
        <v>-1.911034088520871</v>
      </c>
      <c r="T129" s="282">
        <f t="shared" ref="T129:U129" si="18">T24 * (1 - T$113)</f>
        <v>-1.9384389750675373</v>
      </c>
      <c r="U129" s="282">
        <f t="shared" si="18"/>
        <v>-1.9384389750675373</v>
      </c>
      <c r="V129" s="282">
        <f t="shared" ref="V129:W129" si="19">V24 * (1 - V$113)</f>
        <v>-1.911034088520871</v>
      </c>
      <c r="W129" s="282">
        <f t="shared" si="19"/>
        <v>-1.911034088520871</v>
      </c>
      <c r="X129" s="282">
        <f t="shared" ref="X129:Y129" si="20">X24 * (1 - X$113)</f>
        <v>-1.8872831868470927</v>
      </c>
      <c r="Y129" s="282">
        <f t="shared" si="20"/>
        <v>-1.8872831868470927</v>
      </c>
      <c r="Z129" s="267"/>
      <c r="AA129" s="267"/>
    </row>
    <row r="130" spans="4:27" x14ac:dyDescent="0.3">
      <c r="F130" t="s">
        <v>193</v>
      </c>
      <c r="G130" t="s">
        <v>269</v>
      </c>
      <c r="H130" s="267"/>
      <c r="I130" s="267"/>
      <c r="J130" s="282">
        <f t="shared" ref="J130:K130" si="21">J25 * (1 - J$114)</f>
        <v>0.46225582429163581</v>
      </c>
      <c r="K130" s="282">
        <f t="shared" si="21"/>
        <v>0.46225582429163581</v>
      </c>
      <c r="L130" s="282">
        <f t="shared" ref="L130:M130" si="22">L25 * (1 - L$114)</f>
        <v>0.41890709709128204</v>
      </c>
      <c r="M130" s="282">
        <f t="shared" si="22"/>
        <v>0.41890709709128204</v>
      </c>
      <c r="N130" s="282">
        <f t="shared" ref="N130:P130" si="23">N25 * (1 - N$114)</f>
        <v>0.30844522766405164</v>
      </c>
      <c r="O130" s="282">
        <f t="shared" si="23"/>
        <v>0.30071138041568879</v>
      </c>
      <c r="P130" s="282">
        <f t="shared" si="23"/>
        <v>8.9731272407779339E-2</v>
      </c>
      <c r="Q130" s="282">
        <f t="shared" ref="Q130:S130" si="24">Q25 * (1 - Q$114)</f>
        <v>1.043485009754185</v>
      </c>
      <c r="R130" s="282">
        <f t="shared" si="24"/>
        <v>-0.27488048620541039</v>
      </c>
      <c r="S130" s="282">
        <f t="shared" si="24"/>
        <v>-0.27099433418554125</v>
      </c>
      <c r="T130" s="282">
        <f t="shared" ref="T130:U130" si="25">T25 * (1 - T$114)</f>
        <v>-0.27488048620541039</v>
      </c>
      <c r="U130" s="282">
        <f t="shared" si="25"/>
        <v>-0.27488048620541039</v>
      </c>
      <c r="V130" s="282">
        <f t="shared" ref="V130:W130" si="26">V25 * (1 - V$114)</f>
        <v>-0.27099433418554125</v>
      </c>
      <c r="W130" s="282">
        <f t="shared" si="26"/>
        <v>-0.27099433418554125</v>
      </c>
      <c r="X130" s="282">
        <f t="shared" ref="X130:Y130" si="27">X25 * (1 - X$114)</f>
        <v>-8.8316690803546025E-2</v>
      </c>
      <c r="Y130" s="282">
        <f t="shared" si="27"/>
        <v>-8.8316690803546025E-2</v>
      </c>
      <c r="Z130" s="267"/>
      <c r="AA130" s="267"/>
    </row>
    <row r="131" spans="4:27" x14ac:dyDescent="0.3">
      <c r="F131" t="s">
        <v>194</v>
      </c>
      <c r="G131" t="s">
        <v>269</v>
      </c>
      <c r="H131" s="267"/>
      <c r="I131" s="267"/>
      <c r="J131" s="282">
        <f t="shared" ref="J131:K131" si="28">J26 * (1 - J$115)</f>
        <v>0.86643183547915059</v>
      </c>
      <c r="K131" s="282">
        <f t="shared" si="28"/>
        <v>0.86643183547915059</v>
      </c>
      <c r="L131" s="282">
        <f t="shared" ref="L131:M131" si="29">L26 * (1 - L$115)</f>
        <v>0.78518090190477607</v>
      </c>
      <c r="M131" s="282">
        <f t="shared" si="29"/>
        <v>0.78518090190477607</v>
      </c>
      <c r="N131" s="282">
        <f t="shared" ref="N131:P131" si="30">N26 * (1 - N$115)</f>
        <v>0.57813606818103291</v>
      </c>
      <c r="O131" s="282">
        <f t="shared" si="30"/>
        <v>0.56364008756903572</v>
      </c>
      <c r="P131" s="282">
        <f t="shared" si="30"/>
        <v>0.13455065695934151</v>
      </c>
      <c r="Q131" s="282">
        <f t="shared" ref="Q131:S131" si="31">Q26 * (1 - Q$115)</f>
        <v>1.7019206591270826</v>
      </c>
      <c r="R131" s="282">
        <f t="shared" si="31"/>
        <v>-0.51522380397331113</v>
      </c>
      <c r="S131" s="282">
        <f t="shared" si="31"/>
        <v>-0.50793977281440483</v>
      </c>
      <c r="T131" s="282">
        <f t="shared" ref="T131:U131" si="32">T26 * (1 - T$115)</f>
        <v>-0.51522380397331113</v>
      </c>
      <c r="U131" s="282">
        <f t="shared" si="32"/>
        <v>-0.51522380397331113</v>
      </c>
      <c r="V131" s="282">
        <f t="shared" ref="V131:W131" si="33">V26 * (1 - V$115)</f>
        <v>-0.50793977281440483</v>
      </c>
      <c r="W131" s="282">
        <f t="shared" si="33"/>
        <v>-0.50793977281440483</v>
      </c>
      <c r="X131" s="282">
        <f t="shared" ref="X131:Y131" si="34">X26 * (1 - X$115)</f>
        <v>-0.16553689211730632</v>
      </c>
      <c r="Y131" s="282">
        <f t="shared" si="34"/>
        <v>-0.16553689211730632</v>
      </c>
      <c r="Z131" s="267"/>
      <c r="AA131" s="267"/>
    </row>
    <row r="132" spans="4:27" x14ac:dyDescent="0.3">
      <c r="F132" t="s">
        <v>195</v>
      </c>
      <c r="G132" t="s">
        <v>269</v>
      </c>
      <c r="H132" s="267"/>
      <c r="I132" s="267"/>
      <c r="J132" s="282">
        <f t="shared" ref="J132:K132" si="35">J27 * (1 - J$116)</f>
        <v>0.15875648264517397</v>
      </c>
      <c r="K132" s="282">
        <f t="shared" si="35"/>
        <v>0.15875648264517397</v>
      </c>
      <c r="L132" s="282">
        <f t="shared" ref="L132:M132" si="36">L27 * (1 - L$116)</f>
        <v>0.1438688574475484</v>
      </c>
      <c r="M132" s="282">
        <f t="shared" si="36"/>
        <v>0.1438688574475484</v>
      </c>
      <c r="N132" s="282">
        <f t="shared" ref="N132:P132" si="37">N27 * (1 - N$116)</f>
        <v>0.10593199016512808</v>
      </c>
      <c r="O132" s="282">
        <f t="shared" si="37"/>
        <v>0.10327588866906449</v>
      </c>
      <c r="P132" s="282">
        <f t="shared" si="37"/>
        <v>0</v>
      </c>
      <c r="Q132" s="282">
        <f t="shared" ref="Q132:S132" si="38">Q27 * (1 - Q$116)</f>
        <v>0.31184327089591746</v>
      </c>
      <c r="R132" s="282">
        <f t="shared" si="38"/>
        <v>-9.4404563110998194E-2</v>
      </c>
      <c r="S132" s="282">
        <f t="shared" si="38"/>
        <v>-9.3069908590107567E-2</v>
      </c>
      <c r="T132" s="282">
        <f t="shared" ref="T132:U132" si="39">T27 * (1 - T$116)</f>
        <v>-9.4404563110998194E-2</v>
      </c>
      <c r="U132" s="282">
        <f t="shared" si="39"/>
        <v>-9.4404563110998194E-2</v>
      </c>
      <c r="V132" s="282">
        <f t="shared" ref="V132:W132" si="40">V27 * (1 - V$116)</f>
        <v>-9.3069908590107567E-2</v>
      </c>
      <c r="W132" s="282">
        <f t="shared" si="40"/>
        <v>-9.3069908590107567E-2</v>
      </c>
      <c r="X132" s="282">
        <f t="shared" ref="X132:Y132" si="41">X27 * (1 - X$116)</f>
        <v>0</v>
      </c>
      <c r="Y132" s="282">
        <f t="shared" si="41"/>
        <v>0</v>
      </c>
      <c r="Z132" s="267"/>
      <c r="AA132" s="267"/>
    </row>
    <row r="133" spans="4:27" x14ac:dyDescent="0.3">
      <c r="F133" t="s">
        <v>196</v>
      </c>
      <c r="G133" t="s">
        <v>269</v>
      </c>
      <c r="H133" s="267"/>
      <c r="I133" s="267"/>
      <c r="J133" s="282">
        <f t="shared" ref="J133:K133" si="42">J28 * (1 - J$117)</f>
        <v>0</v>
      </c>
      <c r="K133" s="282">
        <f t="shared" si="42"/>
        <v>0</v>
      </c>
      <c r="L133" s="282">
        <f t="shared" ref="L133:M133" si="43">L28 * (1 - L$117)</f>
        <v>0</v>
      </c>
      <c r="M133" s="282">
        <f t="shared" si="43"/>
        <v>0</v>
      </c>
      <c r="N133" s="282">
        <f t="shared" ref="N133:P133" si="44">N28 * (1 - N$117)</f>
        <v>0</v>
      </c>
      <c r="O133" s="282">
        <f t="shared" si="44"/>
        <v>0</v>
      </c>
      <c r="P133" s="282">
        <f t="shared" si="44"/>
        <v>0</v>
      </c>
      <c r="Q133" s="282">
        <f t="shared" ref="Q133:S133" si="45">Q28 * (1 - Q$117)</f>
        <v>0</v>
      </c>
      <c r="R133" s="282">
        <f t="shared" si="45"/>
        <v>0</v>
      </c>
      <c r="S133" s="282">
        <f t="shared" si="45"/>
        <v>0</v>
      </c>
      <c r="T133" s="282">
        <f t="shared" ref="T133:U133" si="46">T28 * (1 - T$117)</f>
        <v>0</v>
      </c>
      <c r="U133" s="282">
        <f t="shared" si="46"/>
        <v>0</v>
      </c>
      <c r="V133" s="282">
        <f t="shared" ref="V133:W133" si="47">V28 * (1 - V$117)</f>
        <v>0</v>
      </c>
      <c r="W133" s="282">
        <f t="shared" si="47"/>
        <v>0</v>
      </c>
      <c r="X133" s="282">
        <f t="shared" ref="X133:Y133" si="48">X28 * (1 - X$117)</f>
        <v>0</v>
      </c>
      <c r="Y133" s="282">
        <f t="shared" si="48"/>
        <v>0</v>
      </c>
      <c r="Z133" s="267"/>
      <c r="AA133" s="267"/>
    </row>
    <row r="134" spans="4:27" x14ac:dyDescent="0.3">
      <c r="F134" t="s">
        <v>197</v>
      </c>
      <c r="G134" t="s">
        <v>269</v>
      </c>
      <c r="H134" s="267"/>
      <c r="I134" s="267"/>
      <c r="J134" s="282">
        <f t="shared" ref="J134:K134" si="49">J29 * (1 - J$118)</f>
        <v>0.60929728896982349</v>
      </c>
      <c r="K134" s="282">
        <f t="shared" si="49"/>
        <v>0.60929728896982349</v>
      </c>
      <c r="L134" s="282">
        <f t="shared" ref="L134:M134" si="50">L29 * (1 - L$118)</f>
        <v>0.55215952979947169</v>
      </c>
      <c r="M134" s="282">
        <f t="shared" si="50"/>
        <v>0.55215952979947169</v>
      </c>
      <c r="N134" s="282">
        <f t="shared" ref="N134:P134" si="51">N29 * (1 - N$118)</f>
        <v>0.3252481957139286</v>
      </c>
      <c r="O134" s="282">
        <f t="shared" si="51"/>
        <v>0</v>
      </c>
      <c r="P134" s="282">
        <f t="shared" si="51"/>
        <v>0</v>
      </c>
      <c r="Q134" s="282">
        <f t="shared" ref="Q134:S134" si="52">Q29 * (1 - Q$118)</f>
        <v>1.1968346512503232</v>
      </c>
      <c r="R134" s="282">
        <f t="shared" si="52"/>
        <v>-0.36231871235439195</v>
      </c>
      <c r="S134" s="282">
        <f t="shared" si="52"/>
        <v>-0.35719639314108764</v>
      </c>
      <c r="T134" s="282">
        <f t="shared" ref="T134:U134" si="53">T29 * (1 - T$118)</f>
        <v>-0.36231871235439195</v>
      </c>
      <c r="U134" s="282">
        <f t="shared" si="53"/>
        <v>-0.36231871235439195</v>
      </c>
      <c r="V134" s="282">
        <f t="shared" ref="V134:W134" si="54">V29 * (1 - V$118)</f>
        <v>-0.35719639314108764</v>
      </c>
      <c r="W134" s="282">
        <f t="shared" si="54"/>
        <v>-0.35719639314108764</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6.9451713102834753E-2</v>
      </c>
      <c r="K135" s="282">
        <f t="shared" si="56"/>
        <v>6.9451713102834753E-2</v>
      </c>
      <c r="L135" s="282">
        <f t="shared" ref="L135:M135" si="57">L30 * (1 - L$119)</f>
        <v>6.2938775446493608E-2</v>
      </c>
      <c r="M135" s="282">
        <f t="shared" si="57"/>
        <v>6.2938775446493608E-2</v>
      </c>
      <c r="N135" s="282">
        <f t="shared" ref="N135:P135" si="58">N30 * (1 - N$119)</f>
        <v>0</v>
      </c>
      <c r="O135" s="282">
        <f t="shared" si="58"/>
        <v>0</v>
      </c>
      <c r="P135" s="282">
        <f t="shared" si="58"/>
        <v>0</v>
      </c>
      <c r="Q135" s="282">
        <f t="shared" ref="Q135:S135" si="59">Q30 * (1 - Q$119)</f>
        <v>0.13642308661951963</v>
      </c>
      <c r="R135" s="282">
        <f t="shared" si="59"/>
        <v>-4.1299470254941531E-2</v>
      </c>
      <c r="S135" s="282">
        <f t="shared" si="59"/>
        <v>0</v>
      </c>
      <c r="T135" s="282">
        <f t="shared" ref="T135:U135" si="60">T30 * (1 - T$119)</f>
        <v>-4.1299470254941531E-2</v>
      </c>
      <c r="U135" s="282">
        <f t="shared" si="60"/>
        <v>-4.1299470254941531E-2</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0.32446780917310664</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1.0151637489846306</v>
      </c>
      <c r="K141" s="434">
        <f t="shared" si="70"/>
        <v>1.0151637489846306</v>
      </c>
      <c r="L141" s="434">
        <f t="shared" ref="L141:M141" si="71">L36 * (1 - L$112)</f>
        <v>0.91996525908813587</v>
      </c>
      <c r="M141" s="434">
        <f t="shared" si="71"/>
        <v>0.91996525908813587</v>
      </c>
      <c r="N141" s="434">
        <f t="shared" ref="N141:P141" si="72">N36 * (1 - N$112)</f>
        <v>0.67737905552988453</v>
      </c>
      <c r="O141" s="434">
        <f t="shared" si="72"/>
        <v>0.66039469112787053</v>
      </c>
      <c r="P141" s="434">
        <f t="shared" si="72"/>
        <v>0.59715021824229542</v>
      </c>
      <c r="Q141" s="434">
        <f t="shared" ref="Q141:S141" si="73">Q36 * (1 - Q$112)</f>
        <v>1.9382769609686996</v>
      </c>
      <c r="R141" s="434">
        <f t="shared" si="73"/>
        <v>-0.60366725573792124</v>
      </c>
      <c r="S141" s="434">
        <f t="shared" si="73"/>
        <v>-0.59513284590185256</v>
      </c>
      <c r="T141" s="434">
        <f t="shared" ref="T141:U141" si="74">T36 * (1 - T$112)</f>
        <v>-0.60366725573792124</v>
      </c>
      <c r="U141" s="434">
        <f t="shared" si="74"/>
        <v>-0.60366725573792124</v>
      </c>
      <c r="V141" s="434">
        <f t="shared" ref="V141:W141" si="75">V36 * (1 - V$112)</f>
        <v>-0.59513284590185256</v>
      </c>
      <c r="W141" s="434">
        <f t="shared" si="75"/>
        <v>-0.59513284590185256</v>
      </c>
      <c r="X141" s="434">
        <f t="shared" ref="X141:Y141" si="76">X36 * (1 - X$112)</f>
        <v>-0.58773635737725971</v>
      </c>
      <c r="Y141" s="434">
        <f t="shared" si="76"/>
        <v>-0.58773635737725971</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2.5907594165451608</v>
      </c>
      <c r="K143" s="282">
        <f t="shared" si="84"/>
        <v>2.5907594165451608</v>
      </c>
      <c r="L143" s="282">
        <f t="shared" ref="L143:M143" si="85">L38 * (1 - L$113)</f>
        <v>2.3478071003430614</v>
      </c>
      <c r="M143" s="282">
        <f t="shared" si="85"/>
        <v>2.3478071003430614</v>
      </c>
      <c r="N143" s="282">
        <f t="shared" ref="N143:P143" si="86">N38 * (1 - N$113)</f>
        <v>1.7287124056978962</v>
      </c>
      <c r="O143" s="282">
        <f t="shared" si="86"/>
        <v>1.6853672783206006</v>
      </c>
      <c r="P143" s="282">
        <f t="shared" si="86"/>
        <v>1.523963550265276</v>
      </c>
      <c r="Q143" s="282">
        <f t="shared" ref="Q143:S143" si="87">Q38 * (1 - Q$113)</f>
        <v>5.8483170421640711</v>
      </c>
      <c r="R143" s="282">
        <f t="shared" si="87"/>
        <v>-1.5405954249521505</v>
      </c>
      <c r="S143" s="282">
        <f t="shared" si="87"/>
        <v>-1.518815093779406</v>
      </c>
      <c r="T143" s="282">
        <f t="shared" ref="T143:U143" si="88">T38 * (1 - T$113)</f>
        <v>-1.5405954249521505</v>
      </c>
      <c r="U143" s="282">
        <f t="shared" si="88"/>
        <v>-1.5405954249521505</v>
      </c>
      <c r="V143" s="282">
        <f t="shared" ref="V143:W143" si="89">V38 * (1 - V$113)</f>
        <v>-1.518815093779406</v>
      </c>
      <c r="W143" s="282">
        <f t="shared" si="89"/>
        <v>-1.518815093779406</v>
      </c>
      <c r="X143" s="282">
        <f t="shared" ref="X143:Y143" si="90">X38 * (1 - X$113)</f>
        <v>-1.4999388067630268</v>
      </c>
      <c r="Y143" s="282">
        <f t="shared" si="90"/>
        <v>-1.4999388067630268</v>
      </c>
      <c r="Z143" s="267"/>
      <c r="AA143" s="267"/>
    </row>
    <row r="144" spans="4:27" x14ac:dyDescent="0.3">
      <c r="F144" t="s">
        <v>193</v>
      </c>
      <c r="G144" t="s">
        <v>269</v>
      </c>
      <c r="H144" s="267"/>
      <c r="I144" s="267"/>
      <c r="J144" s="282">
        <f t="shared" ref="J144:K144" si="91">J39 * (1 - J$114)</f>
        <v>0.36738283599377553</v>
      </c>
      <c r="K144" s="282">
        <f t="shared" si="91"/>
        <v>0.36738283599377553</v>
      </c>
      <c r="L144" s="282">
        <f t="shared" ref="L144:M144" si="92">L39 * (1 - L$114)</f>
        <v>0.33293096432727803</v>
      </c>
      <c r="M144" s="282">
        <f t="shared" si="92"/>
        <v>0.33293096432727803</v>
      </c>
      <c r="N144" s="282">
        <f t="shared" ref="N144:P144" si="93">N39 * (1 - N$114)</f>
        <v>0.24514019409406815</v>
      </c>
      <c r="O144" s="282">
        <f t="shared" si="93"/>
        <v>0.23899363501155099</v>
      </c>
      <c r="P144" s="282">
        <f t="shared" si="93"/>
        <v>0.21610576708593437</v>
      </c>
      <c r="Q144" s="282">
        <f t="shared" ref="Q144:S144" si="94">Q39 * (1 - Q$114)</f>
        <v>0.82932104271037888</v>
      </c>
      <c r="R144" s="282">
        <f t="shared" si="94"/>
        <v>-0.21846425134014014</v>
      </c>
      <c r="S144" s="282">
        <f t="shared" si="94"/>
        <v>-0.21537568982260752</v>
      </c>
      <c r="T144" s="282">
        <f t="shared" ref="T144:U144" si="95">T39 * (1 - T$114)</f>
        <v>-0.21846425134014014</v>
      </c>
      <c r="U144" s="282">
        <f t="shared" si="95"/>
        <v>-0.21846425134014014</v>
      </c>
      <c r="V144" s="282">
        <f t="shared" ref="V144:W144" si="96">V39 * (1 - V$114)</f>
        <v>-0.21537568982260752</v>
      </c>
      <c r="W144" s="282">
        <f t="shared" si="96"/>
        <v>-0.21537568982260752</v>
      </c>
      <c r="X144" s="282">
        <f t="shared" ref="X144:Y144" si="97">X39 * (1 - X$114)</f>
        <v>-0.21269893650741259</v>
      </c>
      <c r="Y144" s="282">
        <f t="shared" si="97"/>
        <v>-0.21269893650741259</v>
      </c>
      <c r="Z144" s="267"/>
      <c r="AA144" s="267"/>
    </row>
    <row r="145" spans="3:27" x14ac:dyDescent="0.3">
      <c r="F145" t="s">
        <v>194</v>
      </c>
      <c r="G145" t="s">
        <v>269</v>
      </c>
      <c r="H145" s="267"/>
      <c r="I145" s="267"/>
      <c r="J145" s="282">
        <f t="shared" ref="J145:K145" si="98">J40 * (1 - J$115)</f>
        <v>0.68860610983410897</v>
      </c>
      <c r="K145" s="282">
        <f t="shared" si="98"/>
        <v>0.68860610983410897</v>
      </c>
      <c r="L145" s="282">
        <f t="shared" ref="L145:M145" si="99">L40 * (1 - L$115)</f>
        <v>0.62403104807163534</v>
      </c>
      <c r="M145" s="282">
        <f t="shared" si="99"/>
        <v>0.62403104807163534</v>
      </c>
      <c r="N145" s="282">
        <f t="shared" ref="N145:P145" si="100">N40 * (1 - N$115)</f>
        <v>0.45947991816894423</v>
      </c>
      <c r="O145" s="282">
        <f t="shared" si="100"/>
        <v>0.44795908016564323</v>
      </c>
      <c r="P145" s="282">
        <f t="shared" si="100"/>
        <v>0.32404725971091936</v>
      </c>
      <c r="Q145" s="282">
        <f t="shared" ref="Q145:S145" si="101">Q40 * (1 - Q$115)</f>
        <v>1.3526199250050575</v>
      </c>
      <c r="R145" s="282">
        <f t="shared" si="101"/>
        <v>-0.40947971302530783</v>
      </c>
      <c r="S145" s="282">
        <f t="shared" si="101"/>
        <v>-0.40369065016444111</v>
      </c>
      <c r="T145" s="282">
        <f t="shared" ref="T145:U145" si="102">T40 * (1 - T$115)</f>
        <v>-0.40947971302530783</v>
      </c>
      <c r="U145" s="282">
        <f t="shared" si="102"/>
        <v>-0.40947971302530783</v>
      </c>
      <c r="V145" s="282">
        <f t="shared" ref="V145:W145" si="103">V40 * (1 - V$115)</f>
        <v>-0.40369065016444111</v>
      </c>
      <c r="W145" s="282">
        <f t="shared" si="103"/>
        <v>-0.40369065016444111</v>
      </c>
      <c r="X145" s="282">
        <f t="shared" ref="X145:Y145" si="104">X40 * (1 - X$115)</f>
        <v>-0.39867346235168993</v>
      </c>
      <c r="Y145" s="282">
        <f t="shared" si="104"/>
        <v>-0.39867346235168993</v>
      </c>
      <c r="Z145" s="267"/>
      <c r="AA145" s="267"/>
    </row>
    <row r="146" spans="3:27" x14ac:dyDescent="0.3">
      <c r="F146" t="s">
        <v>195</v>
      </c>
      <c r="G146" t="s">
        <v>269</v>
      </c>
      <c r="H146" s="267"/>
      <c r="I146" s="267"/>
      <c r="J146" s="282">
        <f t="shared" ref="J146:K146" si="105">J41 * (1 - J$116)</f>
        <v>0.66407072905044584</v>
      </c>
      <c r="K146" s="282">
        <f t="shared" si="105"/>
        <v>0.66407072905044584</v>
      </c>
      <c r="L146" s="282">
        <f t="shared" ref="L146:M146" si="106">L41 * (1 - L$116)</f>
        <v>0.60179650909992266</v>
      </c>
      <c r="M146" s="282">
        <f t="shared" si="106"/>
        <v>0.60179650909992266</v>
      </c>
      <c r="N146" s="282">
        <f t="shared" ref="N146:P146" si="107">N41 * (1 - N$116)</f>
        <v>0.44310841841934528</v>
      </c>
      <c r="O146" s="282">
        <f t="shared" si="107"/>
        <v>0.43199807364769149</v>
      </c>
      <c r="P146" s="282">
        <f t="shared" si="107"/>
        <v>0</v>
      </c>
      <c r="Q146" s="282">
        <f t="shared" ref="Q146:S146" si="108">Q41 * (1 - Q$116)</f>
        <v>1.3044253992208412</v>
      </c>
      <c r="R146" s="282">
        <f t="shared" si="108"/>
        <v>-0.39488974564223978</v>
      </c>
      <c r="S146" s="282">
        <f t="shared" si="108"/>
        <v>-0.38930694999225518</v>
      </c>
      <c r="T146" s="282">
        <f t="shared" ref="T146:U146" si="109">T41 * (1 - T$116)</f>
        <v>-0.39488974564223978</v>
      </c>
      <c r="U146" s="282">
        <f t="shared" si="109"/>
        <v>-0.39488974564223978</v>
      </c>
      <c r="V146" s="282">
        <f t="shared" ref="V146:W146" si="110">V41 * (1 - V$116)</f>
        <v>-0.38930694999225518</v>
      </c>
      <c r="W146" s="282">
        <f t="shared" si="110"/>
        <v>-0.38930694999225518</v>
      </c>
      <c r="X146" s="282">
        <f t="shared" ref="X146:Y146" si="111">X41 * (1 - X$116)</f>
        <v>-0.38446852709560198</v>
      </c>
      <c r="Y146" s="282">
        <f t="shared" si="111"/>
        <v>-0.38446852709560198</v>
      </c>
      <c r="Z146" s="267"/>
      <c r="AA146" s="267"/>
    </row>
    <row r="147" spans="3:27" x14ac:dyDescent="0.3">
      <c r="F147" t="s">
        <v>196</v>
      </c>
      <c r="G147" t="s">
        <v>269</v>
      </c>
      <c r="H147" s="267"/>
      <c r="I147" s="267"/>
      <c r="J147" s="282">
        <f t="shared" ref="J147:K147" si="112">J42 * (1 - J$117)</f>
        <v>0</v>
      </c>
      <c r="K147" s="282">
        <f t="shared" si="112"/>
        <v>0</v>
      </c>
      <c r="L147" s="282">
        <f t="shared" ref="L147:M147" si="113">L42 * (1 - L$117)</f>
        <v>0</v>
      </c>
      <c r="M147" s="282">
        <f t="shared" si="113"/>
        <v>0</v>
      </c>
      <c r="N147" s="282">
        <f t="shared" ref="N147:P147" si="114">N42 * (1 - N$117)</f>
        <v>0</v>
      </c>
      <c r="O147" s="282">
        <f t="shared" si="114"/>
        <v>0</v>
      </c>
      <c r="P147" s="282">
        <f t="shared" si="114"/>
        <v>0</v>
      </c>
      <c r="Q147" s="282">
        <f t="shared" ref="Q147:S147" si="115">Q42 * (1 - Q$117)</f>
        <v>0</v>
      </c>
      <c r="R147" s="282">
        <f t="shared" si="115"/>
        <v>0</v>
      </c>
      <c r="S147" s="282">
        <f t="shared" si="115"/>
        <v>0</v>
      </c>
      <c r="T147" s="282">
        <f t="shared" ref="T147:U147" si="116">T42 * (1 - T$117)</f>
        <v>0</v>
      </c>
      <c r="U147" s="282">
        <f t="shared" si="116"/>
        <v>0</v>
      </c>
      <c r="V147" s="282">
        <f t="shared" ref="V147:W147" si="117">V42 * (1 - V$117)</f>
        <v>0</v>
      </c>
      <c r="W147" s="282">
        <f t="shared" si="117"/>
        <v>0</v>
      </c>
      <c r="X147" s="282">
        <f t="shared" ref="X147:Y147" si="118">X42 * (1 - X$117)</f>
        <v>0</v>
      </c>
      <c r="Y147" s="282">
        <f t="shared" si="118"/>
        <v>0</v>
      </c>
      <c r="Z147" s="267"/>
      <c r="AA147" s="267"/>
    </row>
    <row r="148" spans="3:27" x14ac:dyDescent="0.3">
      <c r="F148" t="s">
        <v>197</v>
      </c>
      <c r="G148" t="s">
        <v>269</v>
      </c>
      <c r="H148" s="267"/>
      <c r="I148" s="267"/>
      <c r="J148" s="282">
        <f t="shared" ref="J148:K148" si="119">J43 * (1 - J$118)</f>
        <v>2.5486612461614069</v>
      </c>
      <c r="K148" s="282">
        <f t="shared" si="119"/>
        <v>2.5486612461614069</v>
      </c>
      <c r="L148" s="282">
        <f t="shared" ref="L148:M148" si="120">L43 * (1 - L$118)</f>
        <v>2.3096567484781887</v>
      </c>
      <c r="M148" s="282">
        <f t="shared" si="120"/>
        <v>2.3096567484781887</v>
      </c>
      <c r="N148" s="282">
        <f t="shared" ref="N148:P148" si="121">N43 * (1 - N$118)</f>
        <v>1.3604975548168987</v>
      </c>
      <c r="O148" s="282">
        <f t="shared" si="121"/>
        <v>0</v>
      </c>
      <c r="P148" s="282">
        <f t="shared" si="121"/>
        <v>0</v>
      </c>
      <c r="Q148" s="282">
        <f t="shared" ref="Q148:S148" si="122">Q43 * (1 - Q$118)</f>
        <v>5.0063017658624016</v>
      </c>
      <c r="R148" s="282">
        <f t="shared" si="122"/>
        <v>-1.5155617424427359</v>
      </c>
      <c r="S148" s="282">
        <f t="shared" si="122"/>
        <v>-1.4941353276108407</v>
      </c>
      <c r="T148" s="282">
        <f t="shared" ref="T148:U148" si="123">T43 * (1 - T$118)</f>
        <v>-1.5155617424427359</v>
      </c>
      <c r="U148" s="282">
        <f t="shared" si="123"/>
        <v>-1.5155617424427359</v>
      </c>
      <c r="V148" s="282">
        <f t="shared" ref="V148:W148" si="124">V43 * (1 - V$118)</f>
        <v>-1.4941353276108407</v>
      </c>
      <c r="W148" s="282">
        <f t="shared" si="124"/>
        <v>-1.4941353276108407</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1.1039500632986248</v>
      </c>
      <c r="K149" s="282">
        <f t="shared" si="126"/>
        <v>1.1039500632986248</v>
      </c>
      <c r="L149" s="282">
        <f t="shared" ref="L149:M149" si="127">L44 * (1 - L$119)</f>
        <v>1.0004255047707182</v>
      </c>
      <c r="M149" s="282">
        <f t="shared" si="127"/>
        <v>1.0004255047707182</v>
      </c>
      <c r="N149" s="282">
        <f t="shared" ref="N149:P149" si="128">N44 * (1 - N$119)</f>
        <v>0</v>
      </c>
      <c r="O149" s="282">
        <f t="shared" si="128"/>
        <v>0</v>
      </c>
      <c r="P149" s="282">
        <f t="shared" si="128"/>
        <v>0</v>
      </c>
      <c r="Q149" s="282">
        <f t="shared" ref="Q149:S149" si="129">Q44 * (1 - Q$119)</f>
        <v>2.1684745901950322</v>
      </c>
      <c r="R149" s="282">
        <f t="shared" si="129"/>
        <v>-0.65646404912482248</v>
      </c>
      <c r="S149" s="282">
        <f t="shared" si="129"/>
        <v>0</v>
      </c>
      <c r="T149" s="282">
        <f t="shared" ref="T149:U149" si="130">T44 * (1 - T$119)</f>
        <v>-0.65646404912482248</v>
      </c>
      <c r="U149" s="282">
        <f t="shared" si="130"/>
        <v>-0.65646404912482248</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5.1574862947534275</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0.99704202557624577</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6.9291353972251904E-2</v>
      </c>
      <c r="K159" s="282">
        <f t="shared" si="155"/>
        <v>6.9291353972251904E-2</v>
      </c>
      <c r="L159" s="282">
        <f t="shared" ref="L159:M159" si="156">L54 * (1 - L$113)</f>
        <v>6.2793454231801521E-2</v>
      </c>
      <c r="M159" s="282">
        <f t="shared" si="156"/>
        <v>6.2793454231801521E-2</v>
      </c>
      <c r="N159" s="282">
        <f t="shared" ref="N159:P159" si="157">N54 * (1 - N$113)</f>
        <v>4.6235409762274242E-2</v>
      </c>
      <c r="O159" s="282">
        <f t="shared" si="157"/>
        <v>4.5076119345382616E-2</v>
      </c>
      <c r="P159" s="282">
        <f t="shared" si="157"/>
        <v>4.0759283601507733E-2</v>
      </c>
      <c r="Q159" s="282">
        <f t="shared" ref="Q159:S159" si="158">Q54 * (1 - Q$113)</f>
        <v>8.764979187235912E-2</v>
      </c>
      <c r="R159" s="282">
        <f t="shared" si="158"/>
        <v>-4.120411267702536E-2</v>
      </c>
      <c r="S159" s="282">
        <f t="shared" si="158"/>
        <v>-4.0621585165097576E-2</v>
      </c>
      <c r="T159" s="282">
        <f t="shared" ref="T159:U159" si="159">T54 * (1 - T$113)</f>
        <v>-4.120411267702536E-2</v>
      </c>
      <c r="U159" s="282">
        <f t="shared" si="159"/>
        <v>-4.120411267702536E-2</v>
      </c>
      <c r="V159" s="282">
        <f t="shared" ref="V159:W159" si="160">V54 * (1 - V$113)</f>
        <v>-4.0621585165097576E-2</v>
      </c>
      <c r="W159" s="282">
        <f t="shared" si="160"/>
        <v>-4.0621585165097576E-2</v>
      </c>
      <c r="X159" s="282">
        <f t="shared" ref="X159:Y159" si="161">X54 * (1 - X$113)</f>
        <v>-4.0116727988093487E-2</v>
      </c>
      <c r="Y159" s="282">
        <f t="shared" si="161"/>
        <v>-4.0116727988093487E-2</v>
      </c>
      <c r="Z159" s="267"/>
      <c r="AA159" s="267"/>
    </row>
    <row r="160" spans="3:27" x14ac:dyDescent="0.3">
      <c r="F160" t="s">
        <v>193</v>
      </c>
      <c r="G160" t="s">
        <v>269</v>
      </c>
      <c r="H160" s="267"/>
      <c r="I160" s="267"/>
      <c r="J160" s="282">
        <f t="shared" ref="J160:K160" si="162">J55 * (1 - J$114)</f>
        <v>9.8258657170572968E-3</v>
      </c>
      <c r="K160" s="282">
        <f t="shared" si="162"/>
        <v>9.8258657170572968E-3</v>
      </c>
      <c r="L160" s="282">
        <f t="shared" ref="L160:M160" si="163">L55 * (1 - L$114)</f>
        <v>8.9044305504399016E-3</v>
      </c>
      <c r="M160" s="282">
        <f t="shared" si="163"/>
        <v>8.9044305504399016E-3</v>
      </c>
      <c r="N160" s="282">
        <f t="shared" ref="N160:P160" si="164">N55 * (1 - N$114)</f>
        <v>6.5564157958171061E-3</v>
      </c>
      <c r="O160" s="282">
        <f t="shared" si="164"/>
        <v>6.3920225301290082E-3</v>
      </c>
      <c r="P160" s="282">
        <f t="shared" si="164"/>
        <v>1.9073581920803979E-3</v>
      </c>
      <c r="Q160" s="282">
        <f t="shared" ref="Q160:S160" si="165">Q55 * (1 - Q$114)</f>
        <v>1.2429185398956228E-2</v>
      </c>
      <c r="R160" s="282">
        <f t="shared" si="165"/>
        <v>-5.8429523302009692E-3</v>
      </c>
      <c r="S160" s="282">
        <f t="shared" si="165"/>
        <v>-5.7603469720925683E-3</v>
      </c>
      <c r="T160" s="282">
        <f t="shared" ref="T160:U160" si="166">T55 * (1 - T$114)</f>
        <v>-5.8429523302009692E-3</v>
      </c>
      <c r="U160" s="282">
        <f t="shared" si="166"/>
        <v>-5.8429523302009692E-3</v>
      </c>
      <c r="V160" s="282">
        <f t="shared" ref="V160:W160" si="167">V55 * (1 - V$114)</f>
        <v>-5.7603469720925683E-3</v>
      </c>
      <c r="W160" s="282">
        <f t="shared" si="167"/>
        <v>-5.7603469720925683E-3</v>
      </c>
      <c r="X160" s="282">
        <f t="shared" ref="X160:Y160" si="168">X55 * (1 - X$114)</f>
        <v>-1.8772893683715441E-3</v>
      </c>
      <c r="Y160" s="282">
        <f t="shared" si="168"/>
        <v>-1.8772893683715441E-3</v>
      </c>
      <c r="Z160" s="267"/>
      <c r="AA160" s="267"/>
    </row>
    <row r="161" spans="4:27" x14ac:dyDescent="0.3">
      <c r="F161" t="s">
        <v>194</v>
      </c>
      <c r="G161" t="s">
        <v>269</v>
      </c>
      <c r="H161" s="267"/>
      <c r="I161" s="267"/>
      <c r="J161" s="282">
        <f t="shared" ref="J161:K161" si="169">J56 * (1 - J$115)</f>
        <v>7.2146310412662909E-2</v>
      </c>
      <c r="K161" s="282">
        <f t="shared" si="169"/>
        <v>7.2146310412662909E-2</v>
      </c>
      <c r="L161" s="282">
        <f t="shared" ref="L161:M161" si="170">L56 * (1 - L$115)</f>
        <v>6.5380682887291874E-2</v>
      </c>
      <c r="M161" s="282">
        <f t="shared" si="170"/>
        <v>6.5380682887291874E-2</v>
      </c>
      <c r="N161" s="282">
        <f t="shared" ref="N161:P161" si="171">N56 * (1 - N$115)</f>
        <v>4.8140410506359956E-2</v>
      </c>
      <c r="O161" s="282">
        <f t="shared" si="171"/>
        <v>4.6933354770243421E-2</v>
      </c>
      <c r="P161" s="282">
        <f t="shared" si="171"/>
        <v>1.1203805153175225E-2</v>
      </c>
      <c r="Q161" s="282">
        <f t="shared" ref="Q161:S161" si="172">Q56 * (1 - Q$115)</f>
        <v>6.9744972809447248E-2</v>
      </c>
      <c r="R161" s="282">
        <f t="shared" si="172"/>
        <v>-4.2901812896677619E-2</v>
      </c>
      <c r="S161" s="282">
        <f t="shared" si="172"/>
        <v>-4.229528396788388E-2</v>
      </c>
      <c r="T161" s="282">
        <f t="shared" ref="T161:U161" si="173">T56 * (1 - T$115)</f>
        <v>-4.2901812896677619E-2</v>
      </c>
      <c r="U161" s="282">
        <f t="shared" si="173"/>
        <v>-4.2901812896677619E-2</v>
      </c>
      <c r="V161" s="282">
        <f t="shared" ref="V161:W161" si="174">V56 * (1 - V$115)</f>
        <v>-4.229528396788388E-2</v>
      </c>
      <c r="W161" s="282">
        <f t="shared" si="174"/>
        <v>-4.229528396788388E-2</v>
      </c>
      <c r="X161" s="282">
        <f t="shared" ref="X161:Y161" si="175">X56 * (1 - X$115)</f>
        <v>-1.3783976435766664E-2</v>
      </c>
      <c r="Y161" s="282">
        <f t="shared" si="175"/>
        <v>-1.3783976435766664E-2</v>
      </c>
      <c r="Z161" s="267"/>
      <c r="AA161" s="267"/>
    </row>
    <row r="162" spans="4:27" x14ac:dyDescent="0.3">
      <c r="F162" t="s">
        <v>195</v>
      </c>
      <c r="G162" t="s">
        <v>269</v>
      </c>
      <c r="H162" s="267"/>
      <c r="I162" s="267"/>
      <c r="J162" s="282">
        <f t="shared" ref="J162:K162" si="176">J57 * (1 - J$116)</f>
        <v>1.3219383231235008E-2</v>
      </c>
      <c r="K162" s="282">
        <f t="shared" si="176"/>
        <v>1.3219383231235008E-2</v>
      </c>
      <c r="L162" s="282">
        <f t="shared" ref="L162:M162" si="177">L57 * (1 - L$116)</f>
        <v>1.1979715914277191E-2</v>
      </c>
      <c r="M162" s="282">
        <f t="shared" si="177"/>
        <v>1.1979715914277191E-2</v>
      </c>
      <c r="N162" s="282">
        <f t="shared" ref="N162:P162" si="178">N57 * (1 - N$116)</f>
        <v>8.8207772754079431E-3</v>
      </c>
      <c r="O162" s="282">
        <f t="shared" si="178"/>
        <v>8.5996082056950668E-3</v>
      </c>
      <c r="P162" s="282">
        <f t="shared" si="178"/>
        <v>0</v>
      </c>
      <c r="Q162" s="282">
        <f t="shared" ref="Q162:S162" si="179">Q57 * (1 - Q$116)</f>
        <v>1.2779385650445188E-2</v>
      </c>
      <c r="R162" s="282">
        <f t="shared" si="179"/>
        <v>-7.8609079626112115E-3</v>
      </c>
      <c r="S162" s="282">
        <f t="shared" si="179"/>
        <v>-7.7497735427816475E-3</v>
      </c>
      <c r="T162" s="282">
        <f t="shared" ref="T162:U162" si="180">T57 * (1 - T$116)</f>
        <v>-7.8609079626112115E-3</v>
      </c>
      <c r="U162" s="282">
        <f t="shared" si="180"/>
        <v>-7.8609079626112115E-3</v>
      </c>
      <c r="V162" s="282">
        <f t="shared" ref="V162:W162" si="181">V57 * (1 - V$116)</f>
        <v>-7.7497735427816475E-3</v>
      </c>
      <c r="W162" s="282">
        <f t="shared" si="181"/>
        <v>-7.7497735427816475E-3</v>
      </c>
      <c r="X162" s="282">
        <f t="shared" ref="X162:Y162" si="182">X57 * (1 - X$116)</f>
        <v>0</v>
      </c>
      <c r="Y162" s="282">
        <f t="shared" si="182"/>
        <v>0</v>
      </c>
      <c r="Z162" s="267"/>
      <c r="AA162" s="267"/>
    </row>
    <row r="163" spans="4:27" x14ac:dyDescent="0.3">
      <c r="F163" t="s">
        <v>196</v>
      </c>
      <c r="G163" t="s">
        <v>269</v>
      </c>
      <c r="H163" s="267"/>
      <c r="I163" s="267"/>
      <c r="J163" s="282">
        <f t="shared" ref="J163:K163" si="183">J58 * (1 - J$117)</f>
        <v>0</v>
      </c>
      <c r="K163" s="282">
        <f t="shared" si="183"/>
        <v>0</v>
      </c>
      <c r="L163" s="282">
        <f t="shared" ref="L163:M163" si="184">L58 * (1 - L$117)</f>
        <v>0</v>
      </c>
      <c r="M163" s="282">
        <f t="shared" si="184"/>
        <v>0</v>
      </c>
      <c r="N163" s="282">
        <f t="shared" ref="N163:P163" si="185">N58 * (1 - N$117)</f>
        <v>0</v>
      </c>
      <c r="O163" s="282">
        <f t="shared" si="185"/>
        <v>0</v>
      </c>
      <c r="P163" s="282">
        <f t="shared" si="185"/>
        <v>0</v>
      </c>
      <c r="Q163" s="282">
        <f t="shared" ref="Q163:S163" si="186">Q58 * (1 - Q$117)</f>
        <v>0</v>
      </c>
      <c r="R163" s="282">
        <f t="shared" si="186"/>
        <v>0</v>
      </c>
      <c r="S163" s="282">
        <f t="shared" si="186"/>
        <v>0</v>
      </c>
      <c r="T163" s="282">
        <f t="shared" ref="T163:U163" si="187">T58 * (1 - T$117)</f>
        <v>0</v>
      </c>
      <c r="U163" s="282">
        <f t="shared" si="187"/>
        <v>0</v>
      </c>
      <c r="V163" s="282">
        <f t="shared" ref="V163:W163" si="188">V58 * (1 - V$117)</f>
        <v>0</v>
      </c>
      <c r="W163" s="282">
        <f t="shared" si="188"/>
        <v>0</v>
      </c>
      <c r="X163" s="282">
        <f t="shared" ref="X163:Y163" si="189">X58 * (1 - X$117)</f>
        <v>0</v>
      </c>
      <c r="Y163" s="282">
        <f t="shared" si="189"/>
        <v>0</v>
      </c>
      <c r="Z163" s="267"/>
      <c r="AA163" s="267"/>
    </row>
    <row r="164" spans="4:27" x14ac:dyDescent="0.3">
      <c r="F164" t="s">
        <v>197</v>
      </c>
      <c r="G164" t="s">
        <v>269</v>
      </c>
      <c r="H164" s="267"/>
      <c r="I164" s="267"/>
      <c r="J164" s="282">
        <f t="shared" ref="J164:K164" si="190">J59 * (1 - J$118)</f>
        <v>5.0735152545844625E-2</v>
      </c>
      <c r="K164" s="282">
        <f t="shared" si="190"/>
        <v>5.0735152545844625E-2</v>
      </c>
      <c r="L164" s="282">
        <f t="shared" ref="L164:M164" si="191">L59 * (1 - L$118)</f>
        <v>4.5977388183333065E-2</v>
      </c>
      <c r="M164" s="282">
        <f t="shared" si="191"/>
        <v>4.5977388183333065E-2</v>
      </c>
      <c r="N164" s="282">
        <f t="shared" ref="N164:P164" si="192">N59 * (1 - N$118)</f>
        <v>2.7082865989289107E-2</v>
      </c>
      <c r="O164" s="282">
        <f t="shared" si="192"/>
        <v>0</v>
      </c>
      <c r="P164" s="282">
        <f t="shared" si="192"/>
        <v>0</v>
      </c>
      <c r="Q164" s="282">
        <f t="shared" ref="Q164:S164" si="193">Q59 * (1 - Q$118)</f>
        <v>4.904646979940392E-2</v>
      </c>
      <c r="R164" s="282">
        <f t="shared" si="193"/>
        <v>-3.0169665078592676E-2</v>
      </c>
      <c r="S164" s="282">
        <f t="shared" si="193"/>
        <v>-2.9743138239592782E-2</v>
      </c>
      <c r="T164" s="282">
        <f t="shared" ref="T164:U164" si="194">T59 * (1 - T$118)</f>
        <v>-3.0169665078592676E-2</v>
      </c>
      <c r="U164" s="282">
        <f t="shared" si="194"/>
        <v>-3.0169665078592676E-2</v>
      </c>
      <c r="V164" s="282">
        <f t="shared" ref="V164:W164" si="195">V59 * (1 - V$118)</f>
        <v>-2.9743138239592782E-2</v>
      </c>
      <c r="W164" s="282">
        <f t="shared" si="195"/>
        <v>-2.9743138239592782E-2</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5.7831264353731121E-3</v>
      </c>
      <c r="K165" s="282">
        <f t="shared" si="197"/>
        <v>5.7831264353731121E-3</v>
      </c>
      <c r="L165" s="282">
        <f t="shared" ref="L165:M165" si="198">L60 * (1 - L$119)</f>
        <v>5.2408051556005883E-3</v>
      </c>
      <c r="M165" s="282">
        <f t="shared" si="198"/>
        <v>5.2408051556005883E-3</v>
      </c>
      <c r="N165" s="282">
        <f t="shared" ref="N165:P165" si="199">N60 * (1 - N$119)</f>
        <v>0</v>
      </c>
      <c r="O165" s="282">
        <f t="shared" si="199"/>
        <v>0</v>
      </c>
      <c r="P165" s="282">
        <f t="shared" si="199"/>
        <v>0</v>
      </c>
      <c r="Q165" s="282">
        <f t="shared" ref="Q165:S165" si="200">Q60 * (1 - Q$119)</f>
        <v>5.5906392673671585E-3</v>
      </c>
      <c r="R165" s="282">
        <f t="shared" si="200"/>
        <v>-3.4389368890673099E-3</v>
      </c>
      <c r="S165" s="282">
        <f t="shared" si="200"/>
        <v>0</v>
      </c>
      <c r="T165" s="282">
        <f t="shared" ref="T165:U165" si="201">T60 * (1 - T$119)</f>
        <v>-3.4389368890673099E-3</v>
      </c>
      <c r="U165" s="282">
        <f t="shared" si="201"/>
        <v>-3.4389368890673099E-3</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1.329674118882028E-2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2.3055675731890875E-2</v>
      </c>
      <c r="K171" s="434">
        <f t="shared" si="211"/>
        <v>2.3055675731890875E-2</v>
      </c>
      <c r="L171" s="434">
        <f t="shared" ref="L171:M171" si="212">L66 * (1 - L$112)</f>
        <v>2.0893595461181271E-2</v>
      </c>
      <c r="M171" s="434">
        <f t="shared" si="212"/>
        <v>2.0893595461181271E-2</v>
      </c>
      <c r="N171" s="434">
        <f t="shared" ref="N171:P171" si="213">N66 * (1 - N$112)</f>
        <v>1.5384150456014722E-2</v>
      </c>
      <c r="O171" s="434">
        <f t="shared" si="213"/>
        <v>1.499841367359241E-2</v>
      </c>
      <c r="P171" s="434">
        <f t="shared" si="213"/>
        <v>1.3562050269025783E-2</v>
      </c>
      <c r="Q171" s="434">
        <f t="shared" ref="Q171:S171" si="214">Q66 * (1 - Q$112)</f>
        <v>4.2375764535762084E-2</v>
      </c>
      <c r="R171" s="434">
        <f t="shared" si="214"/>
        <v>-1.3710060581039E-2</v>
      </c>
      <c r="S171" s="434">
        <f t="shared" si="214"/>
        <v>-1.3516233145868795E-2</v>
      </c>
      <c r="T171" s="434">
        <f t="shared" ref="T171:U171" si="215">T66 * (1 - T$112)</f>
        <v>-1.3710060581039E-2</v>
      </c>
      <c r="U171" s="434">
        <f t="shared" si="215"/>
        <v>-1.3710060581039E-2</v>
      </c>
      <c r="V171" s="434">
        <f t="shared" ref="V171:W171" si="216">V66 * (1 - V$112)</f>
        <v>-1.3516233145868795E-2</v>
      </c>
      <c r="W171" s="434">
        <f t="shared" si="216"/>
        <v>-1.3516233145868795E-2</v>
      </c>
      <c r="X171" s="434">
        <f t="shared" ref="X171:Y171" si="217">X66 * (1 - X$112)</f>
        <v>-1.3348249368721286E-2</v>
      </c>
      <c r="Y171" s="434">
        <f t="shared" si="217"/>
        <v>-1.3348249368721286E-2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5.5070056004560074E-2</v>
      </c>
      <c r="K173" s="282">
        <f t="shared" si="225"/>
        <v>5.5070056004560074E-2</v>
      </c>
      <c r="L173" s="282">
        <f t="shared" ref="L173:M173" si="226">L68 * (1 - L$113)</f>
        <v>4.9905779625115713E-2</v>
      </c>
      <c r="M173" s="282">
        <f t="shared" si="226"/>
        <v>4.9905779625115713E-2</v>
      </c>
      <c r="N173" s="282">
        <f t="shared" ref="N173:P173" si="227">N68 * (1 - N$113)</f>
        <v>3.6746093979082295E-2</v>
      </c>
      <c r="O173" s="282">
        <f t="shared" si="227"/>
        <v>3.5824735331518025E-2</v>
      </c>
      <c r="P173" s="282">
        <f t="shared" si="227"/>
        <v>3.2393883247535428E-2</v>
      </c>
      <c r="Q173" s="282">
        <f t="shared" ref="Q173:S173" si="228">Q68 * (1 - Q$113)</f>
        <v>6.9660623880026959E-2</v>
      </c>
      <c r="R173" s="282">
        <f t="shared" si="228"/>
        <v>-3.2747415985703916E-2</v>
      </c>
      <c r="S173" s="282">
        <f t="shared" si="228"/>
        <v>-3.2284445919930536E-2</v>
      </c>
      <c r="T173" s="282">
        <f t="shared" ref="T173:U173" si="229">T68 * (1 - T$113)</f>
        <v>-3.2747415985703916E-2</v>
      </c>
      <c r="U173" s="282">
        <f t="shared" si="229"/>
        <v>-3.2747415985703916E-2</v>
      </c>
      <c r="V173" s="282">
        <f t="shared" ref="V173:W173" si="230">V68 * (1 - V$113)</f>
        <v>-3.2284445919930536E-2</v>
      </c>
      <c r="W173" s="282">
        <f t="shared" si="230"/>
        <v>-3.2284445919930536E-2</v>
      </c>
      <c r="X173" s="282">
        <f t="shared" ref="X173:Y173" si="231">X68 * (1 - X$113)</f>
        <v>-3.188320519626027E-2</v>
      </c>
      <c r="Y173" s="282">
        <f t="shared" si="231"/>
        <v>-3.188320519626027E-2</v>
      </c>
      <c r="Z173" s="267"/>
      <c r="AA173" s="267"/>
    </row>
    <row r="174" spans="4:27" x14ac:dyDescent="0.3">
      <c r="F174" t="s">
        <v>193</v>
      </c>
      <c r="G174" t="s">
        <v>269</v>
      </c>
      <c r="H174" s="267"/>
      <c r="I174" s="267"/>
      <c r="J174" s="282">
        <f t="shared" ref="J174:K174" si="232">J69 * (1 - J$114)</f>
        <v>7.8092134777496651E-3</v>
      </c>
      <c r="K174" s="282">
        <f t="shared" si="232"/>
        <v>7.8092134777496651E-3</v>
      </c>
      <c r="L174" s="282">
        <f t="shared" ref="L174:M174" si="233">L69 * (1 - L$114)</f>
        <v>7.0768928732120248E-3</v>
      </c>
      <c r="M174" s="282">
        <f t="shared" si="233"/>
        <v>7.0768928732120248E-3</v>
      </c>
      <c r="N174" s="282">
        <f t="shared" ref="N174:P174" si="234">N69 * (1 - N$114)</f>
        <v>5.2107826498731672E-3</v>
      </c>
      <c r="O174" s="282">
        <f t="shared" si="234"/>
        <v>5.0801293168203678E-3</v>
      </c>
      <c r="P174" s="282">
        <f t="shared" si="234"/>
        <v>4.5936170762629243E-3</v>
      </c>
      <c r="Q174" s="282">
        <f t="shared" ref="Q174:S174" si="235">Q69 * (1 - Q$114)</f>
        <v>9.8782300643985403E-3</v>
      </c>
      <c r="R174" s="282">
        <f t="shared" si="235"/>
        <v>-4.6437498130718806E-3</v>
      </c>
      <c r="S174" s="282">
        <f t="shared" si="235"/>
        <v>-4.5780983077032865E-3</v>
      </c>
      <c r="T174" s="282">
        <f t="shared" ref="T174:U174" si="236">T69 * (1 - T$114)</f>
        <v>-4.6437498130718806E-3</v>
      </c>
      <c r="U174" s="282">
        <f t="shared" si="236"/>
        <v>-4.6437498130718806E-3</v>
      </c>
      <c r="V174" s="282">
        <f t="shared" ref="V174:W174" si="237">V69 * (1 - V$114)</f>
        <v>-4.5780983077032865E-3</v>
      </c>
      <c r="W174" s="282">
        <f t="shared" si="237"/>
        <v>-4.5780983077032865E-3</v>
      </c>
      <c r="X174" s="282">
        <f t="shared" ref="X174:Y174" si="238">X69 * (1 - X$114)</f>
        <v>-4.5212003363838378E-3</v>
      </c>
      <c r="Y174" s="282">
        <f t="shared" si="238"/>
        <v>-4.5212003363838378E-3</v>
      </c>
      <c r="Z174" s="267"/>
      <c r="AA174" s="267"/>
    </row>
    <row r="175" spans="4:27" x14ac:dyDescent="0.3">
      <c r="F175" t="s">
        <v>194</v>
      </c>
      <c r="G175" t="s">
        <v>269</v>
      </c>
      <c r="H175" s="267"/>
      <c r="I175" s="267"/>
      <c r="J175" s="282">
        <f t="shared" ref="J175:K175" si="239">J70 * (1 - J$115)</f>
        <v>5.733906363756109E-2</v>
      </c>
      <c r="K175" s="282">
        <f t="shared" si="239"/>
        <v>5.733906363756109E-2</v>
      </c>
      <c r="L175" s="282">
        <f t="shared" ref="L175:M175" si="240">L70 * (1 - L$115)</f>
        <v>5.1962007693793867E-2</v>
      </c>
      <c r="M175" s="282">
        <f t="shared" si="240"/>
        <v>5.1962007693793867E-2</v>
      </c>
      <c r="N175" s="282">
        <f t="shared" ref="N175:P175" si="241">N70 * (1 - N$115)</f>
        <v>3.8260114006855771E-2</v>
      </c>
      <c r="O175" s="282">
        <f t="shared" si="241"/>
        <v>3.7300793353153679E-2</v>
      </c>
      <c r="P175" s="282">
        <f t="shared" si="241"/>
        <v>2.6982866083802105E-2</v>
      </c>
      <c r="Q175" s="282">
        <f t="shared" ref="Q175:S175" si="242">Q70 * (1 - Q$115)</f>
        <v>5.5430574501270015E-2</v>
      </c>
      <c r="R175" s="282">
        <f t="shared" si="242"/>
        <v>-3.4096681670606595E-2</v>
      </c>
      <c r="S175" s="282">
        <f t="shared" si="242"/>
        <v>-3.3614636218147496E-2</v>
      </c>
      <c r="T175" s="282">
        <f t="shared" ref="T175:U175" si="243">T70 * (1 - T$115)</f>
        <v>-3.4096681670606595E-2</v>
      </c>
      <c r="U175" s="282">
        <f t="shared" si="243"/>
        <v>-3.4096681670606595E-2</v>
      </c>
      <c r="V175" s="282">
        <f t="shared" ref="V175:W175" si="244">V70 * (1 - V$115)</f>
        <v>-3.3614636218147496E-2</v>
      </c>
      <c r="W175" s="282">
        <f t="shared" si="244"/>
        <v>-3.3614636218147496E-2</v>
      </c>
      <c r="X175" s="282">
        <f t="shared" ref="X175:Y175" si="245">X70 * (1 - X$115)</f>
        <v>-3.319686349268295E-2</v>
      </c>
      <c r="Y175" s="282">
        <f t="shared" si="245"/>
        <v>-3.319686349268295E-2</v>
      </c>
      <c r="Z175" s="267"/>
      <c r="AA175" s="267"/>
    </row>
    <row r="176" spans="4:27" x14ac:dyDescent="0.3">
      <c r="F176" t="s">
        <v>195</v>
      </c>
      <c r="G176" t="s">
        <v>269</v>
      </c>
      <c r="H176" s="267"/>
      <c r="I176" s="267"/>
      <c r="J176" s="282">
        <f t="shared" ref="J176:K176" si="246">J71 * (1 - J$116)</f>
        <v>5.5296044065072582E-2</v>
      </c>
      <c r="K176" s="282">
        <f t="shared" si="246"/>
        <v>5.5296044065072582E-2</v>
      </c>
      <c r="L176" s="282">
        <f t="shared" ref="L176:M176" si="247">L71 * (1 - L$116)</f>
        <v>5.0110575319256841E-2</v>
      </c>
      <c r="M176" s="282">
        <f t="shared" si="247"/>
        <v>5.0110575319256841E-2</v>
      </c>
      <c r="N176" s="282">
        <f t="shared" ref="N176:P176" si="248">N71 * (1 - N$116)</f>
        <v>3.6896886970995288E-2</v>
      </c>
      <c r="O176" s="282">
        <f t="shared" si="248"/>
        <v>3.5971747392941629E-2</v>
      </c>
      <c r="P176" s="282">
        <f t="shared" si="248"/>
        <v>0</v>
      </c>
      <c r="Q176" s="282">
        <f t="shared" ref="Q176:S176" si="249">Q71 * (1 - Q$116)</f>
        <v>5.345555535313392E-2</v>
      </c>
      <c r="R176" s="282">
        <f t="shared" si="249"/>
        <v>-3.2881799815362503E-2</v>
      </c>
      <c r="S176" s="282">
        <f t="shared" si="249"/>
        <v>-3.2416929883948328E-2</v>
      </c>
      <c r="T176" s="282">
        <f t="shared" ref="T176:U176" si="250">T71 * (1 - T$116)</f>
        <v>-3.2881799815362503E-2</v>
      </c>
      <c r="U176" s="282">
        <f t="shared" si="250"/>
        <v>-3.2881799815362503E-2</v>
      </c>
      <c r="V176" s="282">
        <f t="shared" ref="V176:W176" si="251">V71 * (1 - V$116)</f>
        <v>-3.2416929883948328E-2</v>
      </c>
      <c r="W176" s="282">
        <f t="shared" si="251"/>
        <v>-3.2416929883948328E-2</v>
      </c>
      <c r="X176" s="282">
        <f t="shared" ref="X176:Y176" si="252">X71 * (1 - X$116)</f>
        <v>-3.2014042610056047E-2</v>
      </c>
      <c r="Y176" s="282">
        <f t="shared" si="252"/>
        <v>-3.2014042610056047E-2</v>
      </c>
      <c r="Z176" s="267"/>
      <c r="AA176" s="267"/>
    </row>
    <row r="177" spans="3:27" x14ac:dyDescent="0.3">
      <c r="F177" t="s">
        <v>196</v>
      </c>
      <c r="G177" t="s">
        <v>269</v>
      </c>
      <c r="H177" s="267"/>
      <c r="I177" s="267"/>
      <c r="J177" s="282">
        <f t="shared" ref="J177:K177" si="253">J72 * (1 - J$117)</f>
        <v>0</v>
      </c>
      <c r="K177" s="282">
        <f t="shared" si="253"/>
        <v>0</v>
      </c>
      <c r="L177" s="282">
        <f t="shared" ref="L177:M177" si="254">L72 * (1 - L$117)</f>
        <v>0</v>
      </c>
      <c r="M177" s="282">
        <f t="shared" si="254"/>
        <v>0</v>
      </c>
      <c r="N177" s="282">
        <f t="shared" ref="N177:P177" si="255">N72 * (1 - N$117)</f>
        <v>0</v>
      </c>
      <c r="O177" s="282">
        <f t="shared" si="255"/>
        <v>0</v>
      </c>
      <c r="P177" s="282">
        <f t="shared" si="255"/>
        <v>0</v>
      </c>
      <c r="Q177" s="282">
        <f t="shared" ref="Q177:S177" si="256">Q72 * (1 - Q$117)</f>
        <v>0</v>
      </c>
      <c r="R177" s="282">
        <f t="shared" si="256"/>
        <v>0</v>
      </c>
      <c r="S177" s="282">
        <f t="shared" si="256"/>
        <v>0</v>
      </c>
      <c r="T177" s="282">
        <f t="shared" ref="T177:U177" si="257">T72 * (1 - T$117)</f>
        <v>0</v>
      </c>
      <c r="U177" s="282">
        <f t="shared" si="257"/>
        <v>0</v>
      </c>
      <c r="V177" s="282">
        <f t="shared" ref="V177:W177" si="258">V72 * (1 - V$117)</f>
        <v>0</v>
      </c>
      <c r="W177" s="282">
        <f t="shared" si="258"/>
        <v>0</v>
      </c>
      <c r="X177" s="282">
        <f t="shared" ref="X177:Y177" si="259">X72 * (1 - X$117)</f>
        <v>0</v>
      </c>
      <c r="Y177" s="282">
        <f t="shared" si="259"/>
        <v>0</v>
      </c>
      <c r="Z177" s="267"/>
      <c r="AA177" s="267"/>
    </row>
    <row r="178" spans="3:27" x14ac:dyDescent="0.3">
      <c r="F178" t="s">
        <v>197</v>
      </c>
      <c r="G178" t="s">
        <v>269</v>
      </c>
      <c r="H178" s="267"/>
      <c r="I178" s="267"/>
      <c r="J178" s="282">
        <f t="shared" ref="J178:K178" si="260">J73 * (1 - J$118)</f>
        <v>0.21222270220553296</v>
      </c>
      <c r="K178" s="282">
        <f t="shared" si="260"/>
        <v>0.21222270220553296</v>
      </c>
      <c r="L178" s="282">
        <f t="shared" ref="L178:M178" si="261">L73 * (1 - L$118)</f>
        <v>0.1923212027755862</v>
      </c>
      <c r="M178" s="282">
        <f t="shared" si="261"/>
        <v>0.1923212027755862</v>
      </c>
      <c r="N178" s="282">
        <f t="shared" ref="N178:P178" si="262">N73 * (1 - N$118)</f>
        <v>0.11328632546287687</v>
      </c>
      <c r="O178" s="282">
        <f t="shared" si="262"/>
        <v>0</v>
      </c>
      <c r="P178" s="282">
        <f t="shared" si="262"/>
        <v>0</v>
      </c>
      <c r="Q178" s="282">
        <f t="shared" ref="Q178:S178" si="263">Q73 * (1 - Q$118)</f>
        <v>0.20515902352054871</v>
      </c>
      <c r="R178" s="282">
        <f t="shared" si="263"/>
        <v>-0.12619825754597522</v>
      </c>
      <c r="S178" s="282">
        <f t="shared" si="263"/>
        <v>-0.12441411629885965</v>
      </c>
      <c r="T178" s="282">
        <f t="shared" ref="T178:U178" si="264">T73 * (1 - T$118)</f>
        <v>-0.12619825754597522</v>
      </c>
      <c r="U178" s="282">
        <f t="shared" si="264"/>
        <v>-0.12619825754597522</v>
      </c>
      <c r="V178" s="282">
        <f t="shared" ref="V178:W178" si="265">V73 * (1 - V$118)</f>
        <v>-0.12441411629885965</v>
      </c>
      <c r="W178" s="282">
        <f t="shared" si="265"/>
        <v>-0.12441411629885965</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9.1924050670155702E-2</v>
      </c>
      <c r="K179" s="282">
        <f t="shared" si="267"/>
        <v>9.1924050670155702E-2</v>
      </c>
      <c r="L179" s="282">
        <f t="shared" ref="L179:M179" si="268">L74 * (1 - L$119)</f>
        <v>8.3303736146788918E-2</v>
      </c>
      <c r="M179" s="282">
        <f t="shared" si="268"/>
        <v>8.3303736146788918E-2</v>
      </c>
      <c r="N179" s="282">
        <f t="shared" ref="N179:P179" si="269">N74 * (1 - N$119)</f>
        <v>0</v>
      </c>
      <c r="O179" s="282">
        <f t="shared" si="269"/>
        <v>0</v>
      </c>
      <c r="P179" s="282">
        <f t="shared" si="269"/>
        <v>0</v>
      </c>
      <c r="Q179" s="282">
        <f t="shared" ref="Q179:S179" si="270">Q74 * (1 - Q$119)</f>
        <v>8.8864425330321253E-2</v>
      </c>
      <c r="R179" s="282">
        <f t="shared" si="270"/>
        <v>-5.4662648720336299E-2</v>
      </c>
      <c r="S179" s="282">
        <f t="shared" si="270"/>
        <v>0</v>
      </c>
      <c r="T179" s="282">
        <f t="shared" ref="T179:U179" si="271">T74 * (1 - T$119)</f>
        <v>-5.4662648720336299E-2</v>
      </c>
      <c r="U179" s="282">
        <f t="shared" si="271"/>
        <v>-5.4662648720336299E-2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0.21135458898370132</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0.99704202557624577</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6.9738286875721759E-3</v>
      </c>
      <c r="K189" s="282">
        <f t="shared" si="295"/>
        <v>6.9738286875721759E-3</v>
      </c>
      <c r="L189" s="282">
        <f t="shared" ref="L189:M189" si="296">L84 * (1 - L$113)</f>
        <v>6.319847533775306E-3</v>
      </c>
      <c r="M189" s="282">
        <f t="shared" si="296"/>
        <v>6.319847533775306E-3</v>
      </c>
      <c r="N189" s="282">
        <f t="shared" ref="N189:P189" si="297">N84 * (1 - N$113)</f>
        <v>4.6533630604321105E-3</v>
      </c>
      <c r="O189" s="282">
        <f t="shared" si="297"/>
        <v>4.5366862702833147E-3</v>
      </c>
      <c r="P189" s="282">
        <f t="shared" si="297"/>
        <v>4.1022183139748369E-3</v>
      </c>
      <c r="Q189" s="282">
        <f t="shared" ref="Q189:S189" si="298">Q84 * (1 - Q$113)</f>
        <v>5.2217857920908032E-3</v>
      </c>
      <c r="R189" s="282">
        <f t="shared" si="298"/>
        <v>-4.1469881386365596E-3</v>
      </c>
      <c r="S189" s="282">
        <f t="shared" si="298"/>
        <v>-4.088359654112951E-3</v>
      </c>
      <c r="T189" s="282">
        <f t="shared" ref="T189:U189" si="299">T84 * (1 - T$113)</f>
        <v>-4.1469881386365596E-3</v>
      </c>
      <c r="U189" s="282">
        <f t="shared" si="299"/>
        <v>-4.1469881386365596E-3</v>
      </c>
      <c r="V189" s="282">
        <f t="shared" ref="V189:W189" si="300">V84 * (1 - V$113)</f>
        <v>-4.088359654112951E-3</v>
      </c>
      <c r="W189" s="282">
        <f t="shared" si="300"/>
        <v>-4.088359654112951E-3</v>
      </c>
      <c r="X189" s="282">
        <f t="shared" ref="X189:Y189" si="301">X84 * (1 - X$113)</f>
        <v>-4.0375483008591563E-3</v>
      </c>
      <c r="Y189" s="282">
        <f t="shared" si="301"/>
        <v>-4.0375483008591563E-3</v>
      </c>
      <c r="Z189" s="267"/>
      <c r="AA189" s="267"/>
    </row>
    <row r="190" spans="3:27" x14ac:dyDescent="0.3">
      <c r="F190" t="s">
        <v>193</v>
      </c>
      <c r="G190" t="s">
        <v>269</v>
      </c>
      <c r="H190" s="267"/>
      <c r="I190" s="267"/>
      <c r="J190" s="282">
        <f t="shared" ref="J190:K190" si="302">J85 * (1 - J$114)</f>
        <v>9.8892430714064123E-4</v>
      </c>
      <c r="K190" s="282">
        <f t="shared" si="302"/>
        <v>9.8892430714064123E-4</v>
      </c>
      <c r="L190" s="282">
        <f t="shared" ref="L190:M190" si="303">L85 * (1 - L$114)</f>
        <v>8.9618645991561025E-4</v>
      </c>
      <c r="M190" s="282">
        <f t="shared" si="303"/>
        <v>8.9618645991561025E-4</v>
      </c>
      <c r="N190" s="282">
        <f t="shared" ref="N190:P190" si="304">N85 * (1 - N$114)</f>
        <v>6.5987050249921293E-4</v>
      </c>
      <c r="O190" s="282">
        <f t="shared" si="304"/>
        <v>6.4332514140324646E-4</v>
      </c>
      <c r="P190" s="282">
        <f t="shared" si="304"/>
        <v>1.9196607534516894E-4</v>
      </c>
      <c r="Q190" s="282">
        <f t="shared" ref="Q190:S190" si="305">Q85 * (1 - Q$114)</f>
        <v>7.4047573116941396E-4</v>
      </c>
      <c r="R190" s="282">
        <f t="shared" si="305"/>
        <v>-5.880639682230755E-4</v>
      </c>
      <c r="S190" s="282">
        <f t="shared" si="305"/>
        <v>-5.7975015151869654E-4</v>
      </c>
      <c r="T190" s="282">
        <f t="shared" ref="T190:U190" si="306">T85 * (1 - T$114)</f>
        <v>-5.880639682230755E-4</v>
      </c>
      <c r="U190" s="282">
        <f t="shared" si="306"/>
        <v>-5.880639682230755E-4</v>
      </c>
      <c r="V190" s="282">
        <f t="shared" ref="V190:W190" si="307">V85 * (1 - V$114)</f>
        <v>-5.7975015151869654E-4</v>
      </c>
      <c r="W190" s="282">
        <f t="shared" si="307"/>
        <v>-5.7975015151869654E-4</v>
      </c>
      <c r="X190" s="282">
        <f t="shared" ref="X190:Y190" si="308">X85 * (1 - X$114)</f>
        <v>-1.8893979842371741E-4</v>
      </c>
      <c r="Y190" s="282">
        <f t="shared" si="308"/>
        <v>-1.8893979842371741E-4</v>
      </c>
      <c r="Z190" s="267"/>
      <c r="AA190" s="267"/>
    </row>
    <row r="191" spans="3:27" x14ac:dyDescent="0.3">
      <c r="F191" t="s">
        <v>194</v>
      </c>
      <c r="G191" t="s">
        <v>269</v>
      </c>
      <c r="H191" s="267"/>
      <c r="I191" s="267"/>
      <c r="J191" s="282">
        <f t="shared" ref="J191:K191" si="309">J86 * (1 - J$115)</f>
        <v>7.0380166169131926E-3</v>
      </c>
      <c r="K191" s="282">
        <f t="shared" si="309"/>
        <v>7.0380166169131926E-3</v>
      </c>
      <c r="L191" s="282">
        <f t="shared" ref="L191:M191" si="310">L86 * (1 - L$115)</f>
        <v>6.3780161446083889E-3</v>
      </c>
      <c r="M191" s="282">
        <f t="shared" si="310"/>
        <v>6.3780161446083889E-3</v>
      </c>
      <c r="N191" s="282">
        <f t="shared" ref="N191:P191" si="311">N86 * (1 - N$115)</f>
        <v>4.6961931545887676E-3</v>
      </c>
      <c r="O191" s="282">
        <f t="shared" si="311"/>
        <v>4.5784424577099215E-3</v>
      </c>
      <c r="P191" s="282">
        <f t="shared" si="311"/>
        <v>1.0929535604756984E-3</v>
      </c>
      <c r="Q191" s="282">
        <f t="shared" ref="Q191:S191" si="312">Q86 * (1 - Q$115)</f>
        <v>5.2698477150993151E-3</v>
      </c>
      <c r="R191" s="282">
        <f t="shared" si="312"/>
        <v>-4.1851574991909985E-3</v>
      </c>
      <c r="S191" s="282">
        <f t="shared" si="312"/>
        <v>-4.1259893912853774E-3</v>
      </c>
      <c r="T191" s="282">
        <f t="shared" ref="T191:U191" si="313">T86 * (1 - T$115)</f>
        <v>-4.1851574991909985E-3</v>
      </c>
      <c r="U191" s="282">
        <f t="shared" si="313"/>
        <v>-4.1851574991909985E-3</v>
      </c>
      <c r="V191" s="282">
        <f t="shared" ref="V191:W191" si="314">V86 * (1 - V$115)</f>
        <v>-4.1259893912853774E-3</v>
      </c>
      <c r="W191" s="282">
        <f t="shared" si="314"/>
        <v>-4.1259893912853774E-3</v>
      </c>
      <c r="X191" s="282">
        <f t="shared" ref="X191:Y191" si="315">X86 * (1 - X$115)</f>
        <v>-1.3446544202631663E-3</v>
      </c>
      <c r="Y191" s="282">
        <f t="shared" si="315"/>
        <v>-1.3446544202631663E-3</v>
      </c>
      <c r="Z191" s="267"/>
      <c r="AA191" s="267"/>
    </row>
    <row r="192" spans="3:27" x14ac:dyDescent="0.3">
      <c r="F192" t="s">
        <v>195</v>
      </c>
      <c r="G192" t="s">
        <v>269</v>
      </c>
      <c r="H192" s="267"/>
      <c r="I192" s="267"/>
      <c r="J192" s="282">
        <f t="shared" ref="J192:K192" si="316">J87 * (1 - J$116)</f>
        <v>1.2895772259816881E-3</v>
      </c>
      <c r="K192" s="282">
        <f t="shared" si="316"/>
        <v>1.2895772259816881E-3</v>
      </c>
      <c r="L192" s="282">
        <f t="shared" ref="L192:M192" si="317">L87 * (1 - L$116)</f>
        <v>1.1686452042845401E-3</v>
      </c>
      <c r="M192" s="282">
        <f t="shared" si="317"/>
        <v>1.1686452042845401E-3</v>
      </c>
      <c r="N192" s="282">
        <f t="shared" ref="N192:P192" si="318">N87 * (1 - N$116)</f>
        <v>8.6048443341483973E-4</v>
      </c>
      <c r="O192" s="282">
        <f t="shared" si="318"/>
        <v>8.3890894911241244E-4</v>
      </c>
      <c r="P192" s="282">
        <f t="shared" si="318"/>
        <v>0</v>
      </c>
      <c r="Q192" s="282">
        <f t="shared" ref="Q192:S192" si="319">Q87 * (1 - Q$116)</f>
        <v>9.6559527601176919E-4</v>
      </c>
      <c r="R192" s="282">
        <f t="shared" si="319"/>
        <v>-7.6684726562499886E-4</v>
      </c>
      <c r="S192" s="282">
        <f t="shared" si="319"/>
        <v>-7.5600588109684167E-4</v>
      </c>
      <c r="T192" s="282">
        <f t="shared" ref="T192:U192" si="320">T87 * (1 - T$116)</f>
        <v>-7.6684726562499886E-4</v>
      </c>
      <c r="U192" s="282">
        <f t="shared" si="320"/>
        <v>-7.6684726562499886E-4</v>
      </c>
      <c r="V192" s="282">
        <f t="shared" ref="V192:W192" si="321">V87 * (1 - V$116)</f>
        <v>-7.5600588109684167E-4</v>
      </c>
      <c r="W192" s="282">
        <f t="shared" si="321"/>
        <v>-7.5600588109684167E-4</v>
      </c>
      <c r="X192" s="282">
        <f t="shared" ref="X192:Y192" si="322">X87 * (1 - X$116)</f>
        <v>0</v>
      </c>
      <c r="Y192" s="282">
        <f t="shared" si="322"/>
        <v>0</v>
      </c>
      <c r="Z192" s="267"/>
      <c r="AA192" s="267"/>
    </row>
    <row r="193" spans="4:27" x14ac:dyDescent="0.3">
      <c r="F193" t="s">
        <v>196</v>
      </c>
      <c r="G193" t="s">
        <v>269</v>
      </c>
      <c r="H193" s="267"/>
      <c r="I193" s="267"/>
      <c r="J193" s="282">
        <f t="shared" ref="J193:K193" si="323">J88 * (1 - J$117)</f>
        <v>0</v>
      </c>
      <c r="K193" s="282">
        <f t="shared" si="323"/>
        <v>0</v>
      </c>
      <c r="L193" s="282">
        <f t="shared" ref="L193:M193" si="324">L88 * (1 - L$117)</f>
        <v>0</v>
      </c>
      <c r="M193" s="282">
        <f t="shared" si="324"/>
        <v>0</v>
      </c>
      <c r="N193" s="282">
        <f t="shared" ref="N193:P193" si="325">N88 * (1 - N$117)</f>
        <v>0</v>
      </c>
      <c r="O193" s="282">
        <f t="shared" si="325"/>
        <v>0</v>
      </c>
      <c r="P193" s="282">
        <f t="shared" si="325"/>
        <v>0</v>
      </c>
      <c r="Q193" s="282">
        <f t="shared" ref="Q193:S193" si="326">Q88 * (1 - Q$117)</f>
        <v>0</v>
      </c>
      <c r="R193" s="282">
        <f t="shared" si="326"/>
        <v>0</v>
      </c>
      <c r="S193" s="282">
        <f t="shared" si="326"/>
        <v>0</v>
      </c>
      <c r="T193" s="282">
        <f t="shared" ref="T193:U193" si="327">T88 * (1 - T$117)</f>
        <v>0</v>
      </c>
      <c r="U193" s="282">
        <f t="shared" si="327"/>
        <v>0</v>
      </c>
      <c r="V193" s="282">
        <f t="shared" ref="V193:W193" si="328">V88 * (1 - V$117)</f>
        <v>0</v>
      </c>
      <c r="W193" s="282">
        <f t="shared" si="328"/>
        <v>0</v>
      </c>
      <c r="X193" s="282">
        <f t="shared" ref="X193:Y193" si="329">X88 * (1 - X$117)</f>
        <v>0</v>
      </c>
      <c r="Y193" s="282">
        <f t="shared" si="329"/>
        <v>0</v>
      </c>
      <c r="Z193" s="267"/>
      <c r="AA193" s="267"/>
    </row>
    <row r="194" spans="4:27" x14ac:dyDescent="0.3">
      <c r="F194" t="s">
        <v>197</v>
      </c>
      <c r="G194" t="s">
        <v>269</v>
      </c>
      <c r="H194" s="267"/>
      <c r="I194" s="267"/>
      <c r="J194" s="282">
        <f t="shared" ref="J194:K194" si="330">J89 * (1 - J$118)</f>
        <v>4.9493154208008873E-3</v>
      </c>
      <c r="K194" s="282">
        <f t="shared" si="330"/>
        <v>4.9493154208008873E-3</v>
      </c>
      <c r="L194" s="282">
        <f t="shared" ref="L194:M194" si="331">L89 * (1 - L$118)</f>
        <v>4.4851860086218753E-3</v>
      </c>
      <c r="M194" s="282">
        <f t="shared" si="331"/>
        <v>4.4851860086218753E-3</v>
      </c>
      <c r="N194" s="282">
        <f t="shared" ref="N194:P194" si="332">N89 * (1 - N$118)</f>
        <v>2.6419876467140124E-3</v>
      </c>
      <c r="O194" s="282">
        <f t="shared" si="332"/>
        <v>0</v>
      </c>
      <c r="P194" s="282">
        <f t="shared" si="332"/>
        <v>0</v>
      </c>
      <c r="Q194" s="282">
        <f t="shared" ref="Q194:S194" si="333">Q89 * (1 - Q$118)</f>
        <v>3.7058932908647689E-3</v>
      </c>
      <c r="R194" s="282">
        <f t="shared" si="333"/>
        <v>-2.9431110605009207E-3</v>
      </c>
      <c r="S194" s="282">
        <f t="shared" si="333"/>
        <v>-2.9015025158190041E-3</v>
      </c>
      <c r="T194" s="282">
        <f t="shared" ref="T194:U194" si="334">T89 * (1 - T$118)</f>
        <v>-2.9431110605009207E-3</v>
      </c>
      <c r="U194" s="282">
        <f t="shared" si="334"/>
        <v>-2.9431110605009207E-3</v>
      </c>
      <c r="V194" s="282">
        <f t="shared" ref="V194:W194" si="335">V89 * (1 - V$118)</f>
        <v>-2.9015025158190041E-3</v>
      </c>
      <c r="W194" s="282">
        <f t="shared" si="335"/>
        <v>-2.9015025158190041E-3</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5.6415552946588487E-4</v>
      </c>
      <c r="K195" s="282">
        <f t="shared" si="337"/>
        <v>5.6415552946588487E-4</v>
      </c>
      <c r="L195" s="282">
        <f t="shared" ref="L195:M195" si="338">L90 * (1 - L$119)</f>
        <v>5.1125100590933823E-4</v>
      </c>
      <c r="M195" s="282">
        <f t="shared" si="338"/>
        <v>5.1125100590933823E-4</v>
      </c>
      <c r="N195" s="282">
        <f t="shared" ref="N195:P195" si="339">N90 * (1 - N$119)</f>
        <v>0</v>
      </c>
      <c r="O195" s="282">
        <f t="shared" si="339"/>
        <v>0</v>
      </c>
      <c r="P195" s="282">
        <f t="shared" si="339"/>
        <v>0</v>
      </c>
      <c r="Q195" s="282">
        <f t="shared" ref="Q195:S195" si="340">Q90 * (1 - Q$119)</f>
        <v>4.2242209556197006E-4</v>
      </c>
      <c r="R195" s="282">
        <f t="shared" si="340"/>
        <v>-3.3547515917769512E-4</v>
      </c>
      <c r="S195" s="282">
        <f t="shared" si="340"/>
        <v>0</v>
      </c>
      <c r="T195" s="282">
        <f t="shared" ref="T195:U195" si="341">T90 * (1 - T$119)</f>
        <v>-3.3547515917769512E-4</v>
      </c>
      <c r="U195" s="282">
        <f t="shared" si="341"/>
        <v>-3.3547515917769512E-4</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1.0046860490377882E-3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5.5425260782839079E-3</v>
      </c>
      <c r="K203" s="282">
        <f t="shared" si="365"/>
        <v>5.5425260782839079E-3</v>
      </c>
      <c r="L203" s="282">
        <f t="shared" ref="L203:M203" si="366">L98 * (1 - L$113)</f>
        <v>5.0227674547196647E-3</v>
      </c>
      <c r="M203" s="282">
        <f t="shared" si="366"/>
        <v>5.0227674547196647E-3</v>
      </c>
      <c r="N203" s="282">
        <f t="shared" ref="N203:P203" si="367">N98 * (1 - N$113)</f>
        <v>3.6983108231680457E-3</v>
      </c>
      <c r="O203" s="282">
        <f t="shared" si="367"/>
        <v>3.6055806772035221E-3</v>
      </c>
      <c r="P203" s="282">
        <f t="shared" si="367"/>
        <v>3.2602825510379403E-3</v>
      </c>
      <c r="Q203" s="282">
        <f t="shared" ref="Q203:S203" si="368">Q98 * (1 - Q$113)</f>
        <v>4.1500709616586967E-3</v>
      </c>
      <c r="R203" s="282">
        <f t="shared" si="368"/>
        <v>-3.2958638553435629E-3</v>
      </c>
      <c r="S203" s="282">
        <f t="shared" si="368"/>
        <v>-3.2492682306214586E-3</v>
      </c>
      <c r="T203" s="282">
        <f t="shared" ref="T203:U203" si="369">T98 * (1 - T$113)</f>
        <v>-3.2958638553435629E-3</v>
      </c>
      <c r="U203" s="282">
        <f t="shared" si="369"/>
        <v>-3.2958638553435629E-3</v>
      </c>
      <c r="V203" s="282">
        <f t="shared" ref="V203:W203" si="370">V98 * (1 - V$113)</f>
        <v>-3.2492682306214586E-3</v>
      </c>
      <c r="W203" s="282">
        <f t="shared" si="370"/>
        <v>-3.2492682306214586E-3</v>
      </c>
      <c r="X203" s="282">
        <f t="shared" ref="X203:Y203" si="371">X98 * (1 - X$113)</f>
        <v>-3.2088853558623004E-3</v>
      </c>
      <c r="Y203" s="282">
        <f t="shared" si="371"/>
        <v>-3.2088853558623004E-3</v>
      </c>
      <c r="Z203" s="267"/>
      <c r="AA203" s="267"/>
    </row>
    <row r="204" spans="4:27" x14ac:dyDescent="0.3">
      <c r="F204" t="s">
        <v>193</v>
      </c>
      <c r="G204" t="s">
        <v>269</v>
      </c>
      <c r="H204" s="267"/>
      <c r="I204" s="267"/>
      <c r="J204" s="282">
        <f t="shared" ref="J204:K204" si="372">J99 * (1 - J$114)</f>
        <v>7.8595833183335898E-4</v>
      </c>
      <c r="K204" s="282">
        <f t="shared" si="372"/>
        <v>7.8595833183335898E-4</v>
      </c>
      <c r="L204" s="282">
        <f t="shared" ref="L204:M204" si="373">L99 * (1 - L$114)</f>
        <v>7.1225392071058095E-4</v>
      </c>
      <c r="M204" s="282">
        <f t="shared" si="373"/>
        <v>7.1225392071058095E-4</v>
      </c>
      <c r="N204" s="282">
        <f t="shared" ref="N204:P204" si="374">N99 * (1 - N$114)</f>
        <v>5.2443924739789408E-4</v>
      </c>
      <c r="O204" s="282">
        <f t="shared" si="374"/>
        <v>5.1128964200072694E-4</v>
      </c>
      <c r="P204" s="282">
        <f t="shared" si="374"/>
        <v>4.6232461497277769E-4</v>
      </c>
      <c r="Q204" s="282">
        <f t="shared" ref="Q204:S204" si="375">Q99 * (1 - Q$114)</f>
        <v>5.8850112817606347E-4</v>
      </c>
      <c r="R204" s="282">
        <f t="shared" si="375"/>
        <v>-4.6737022453446713E-4</v>
      </c>
      <c r="S204" s="282">
        <f t="shared" si="375"/>
        <v>-4.6076272842889032E-4</v>
      </c>
      <c r="T204" s="282">
        <f t="shared" ref="T204:U204" si="376">T99 * (1 - T$114)</f>
        <v>-4.6737022453446713E-4</v>
      </c>
      <c r="U204" s="282">
        <f t="shared" si="376"/>
        <v>-4.6737022453446713E-4</v>
      </c>
      <c r="V204" s="282">
        <f t="shared" ref="V204:W204" si="377">V99 * (1 - V$114)</f>
        <v>-4.6076272842889032E-4</v>
      </c>
      <c r="W204" s="282">
        <f t="shared" si="377"/>
        <v>-4.6076272842889032E-4</v>
      </c>
      <c r="X204" s="282">
        <f t="shared" ref="X204:Y204" si="378">X99 * (1 - X$114)</f>
        <v>-4.5503623180405704E-4</v>
      </c>
      <c r="Y204" s="282">
        <f t="shared" si="378"/>
        <v>-4.5503623180405704E-4</v>
      </c>
      <c r="Z204" s="267"/>
      <c r="AA204" s="267"/>
    </row>
    <row r="205" spans="4:27" x14ac:dyDescent="0.3">
      <c r="F205" t="s">
        <v>194</v>
      </c>
      <c r="G205" t="s">
        <v>269</v>
      </c>
      <c r="H205" s="267"/>
      <c r="I205" s="267"/>
      <c r="J205" s="282">
        <f t="shared" ref="J205:K205" si="379">J100 * (1 - J$115)</f>
        <v>5.5935401321446851E-3</v>
      </c>
      <c r="K205" s="282">
        <f t="shared" si="379"/>
        <v>5.5935401321446851E-3</v>
      </c>
      <c r="L205" s="282">
        <f t="shared" ref="L205:M205" si="380">L100 * (1 - L$115)</f>
        <v>5.068997589832455E-3</v>
      </c>
      <c r="M205" s="282">
        <f t="shared" si="380"/>
        <v>5.068997589832455E-3</v>
      </c>
      <c r="N205" s="282">
        <f t="shared" ref="N205:P205" si="381">N100 * (1 - N$115)</f>
        <v>3.7323505055912283E-3</v>
      </c>
      <c r="O205" s="282">
        <f t="shared" si="381"/>
        <v>3.6387668605914378E-3</v>
      </c>
      <c r="P205" s="282">
        <f t="shared" si="381"/>
        <v>2.6322324562894199E-3</v>
      </c>
      <c r="Q205" s="282">
        <f t="shared" ref="Q205:S205" si="382">Q100 * (1 - Q$115)</f>
        <v>4.1882686968743432E-3</v>
      </c>
      <c r="R205" s="282">
        <f t="shared" si="382"/>
        <v>-3.3261993691254569E-3</v>
      </c>
      <c r="S205" s="282">
        <f t="shared" si="382"/>
        <v>-3.2791748728607235E-3</v>
      </c>
      <c r="T205" s="282">
        <f t="shared" ref="T205:U205" si="383">T100 * (1 - T$115)</f>
        <v>-3.3261993691254569E-3</v>
      </c>
      <c r="U205" s="282">
        <f t="shared" si="383"/>
        <v>-3.3261993691254569E-3</v>
      </c>
      <c r="V205" s="282">
        <f t="shared" ref="V205:W205" si="384">V100 * (1 - V$115)</f>
        <v>-3.2791748728607235E-3</v>
      </c>
      <c r="W205" s="282">
        <f t="shared" si="384"/>
        <v>-3.2791748728607235E-3</v>
      </c>
      <c r="X205" s="282">
        <f t="shared" ref="X205:Y205" si="385">X100 * (1 - X$115)</f>
        <v>-3.238420309431288E-3</v>
      </c>
      <c r="Y205" s="282">
        <f t="shared" si="385"/>
        <v>-3.238420309431288E-3</v>
      </c>
      <c r="Z205" s="267"/>
      <c r="AA205" s="267"/>
    </row>
    <row r="206" spans="4:27" x14ac:dyDescent="0.3">
      <c r="F206" t="s">
        <v>195</v>
      </c>
      <c r="G206" t="s">
        <v>269</v>
      </c>
      <c r="H206" s="267"/>
      <c r="I206" s="267"/>
      <c r="J206" s="282">
        <f t="shared" ref="J206:K206" si="386">J101 * (1 - J$116)</f>
        <v>5.3942394940717335E-3</v>
      </c>
      <c r="K206" s="282">
        <f t="shared" si="386"/>
        <v>5.3942394940717335E-3</v>
      </c>
      <c r="L206" s="282">
        <f t="shared" ref="L206:M206" si="387">L101 * (1 - L$116)</f>
        <v>4.8883866654130196E-3</v>
      </c>
      <c r="M206" s="282">
        <f t="shared" si="387"/>
        <v>4.8883866654130196E-3</v>
      </c>
      <c r="N206" s="282">
        <f t="shared" ref="N206:P206" si="388">N101 * (1 - N$116)</f>
        <v>3.5993649866349134E-3</v>
      </c>
      <c r="O206" s="282">
        <f t="shared" si="388"/>
        <v>3.5091157738052726E-3</v>
      </c>
      <c r="P206" s="282">
        <f t="shared" si="388"/>
        <v>0</v>
      </c>
      <c r="Q206" s="282">
        <f t="shared" ref="Q206:S206" si="389">Q101 * (1 - Q$116)</f>
        <v>4.0390385842823066E-3</v>
      </c>
      <c r="R206" s="282">
        <f t="shared" si="389"/>
        <v>-3.2076852187012997E-3</v>
      </c>
      <c r="S206" s="282">
        <f t="shared" si="389"/>
        <v>-3.1623362288044853E-3</v>
      </c>
      <c r="T206" s="282">
        <f t="shared" ref="T206:U206" si="390">T101 * (1 - T$116)</f>
        <v>-3.2076852187012997E-3</v>
      </c>
      <c r="U206" s="282">
        <f t="shared" si="390"/>
        <v>-3.2076852187012997E-3</v>
      </c>
      <c r="V206" s="282">
        <f t="shared" ref="V206:W206" si="391">V101 * (1 - V$116)</f>
        <v>-3.1623362288044853E-3</v>
      </c>
      <c r="W206" s="282">
        <f t="shared" si="391"/>
        <v>-3.1623362288044853E-3</v>
      </c>
      <c r="X206" s="282">
        <f t="shared" ref="X206:Y206" si="392">X101 * (1 - X$116)</f>
        <v>-3.1230337708939137E-3</v>
      </c>
      <c r="Y206" s="282">
        <f t="shared" si="392"/>
        <v>-3.1230337708939137E-3</v>
      </c>
      <c r="Z206" s="267"/>
      <c r="AA206" s="267"/>
    </row>
    <row r="207" spans="4:27" x14ac:dyDescent="0.3">
      <c r="F207" t="s">
        <v>196</v>
      </c>
      <c r="G207" t="s">
        <v>269</v>
      </c>
      <c r="H207" s="267"/>
      <c r="I207" s="267"/>
      <c r="J207" s="282">
        <f t="shared" ref="J207:K207" si="393">J102 * (1 - J$117)</f>
        <v>0</v>
      </c>
      <c r="K207" s="282">
        <f t="shared" si="393"/>
        <v>0</v>
      </c>
      <c r="L207" s="282">
        <f t="shared" ref="L207:M207" si="394">L102 * (1 - L$117)</f>
        <v>0</v>
      </c>
      <c r="M207" s="282">
        <f t="shared" si="394"/>
        <v>0</v>
      </c>
      <c r="N207" s="282">
        <f t="shared" ref="N207:P207" si="395">N102 * (1 - N$117)</f>
        <v>0</v>
      </c>
      <c r="O207" s="282">
        <f t="shared" si="395"/>
        <v>0</v>
      </c>
      <c r="P207" s="282">
        <f t="shared" si="395"/>
        <v>0</v>
      </c>
      <c r="Q207" s="282">
        <f t="shared" ref="Q207:S207" si="396">Q102 * (1 - Q$117)</f>
        <v>0</v>
      </c>
      <c r="R207" s="282">
        <f t="shared" si="396"/>
        <v>0</v>
      </c>
      <c r="S207" s="282">
        <f t="shared" si="396"/>
        <v>0</v>
      </c>
      <c r="T207" s="282">
        <f t="shared" ref="T207:U207" si="397">T102 * (1 - T$117)</f>
        <v>0</v>
      </c>
      <c r="U207" s="282">
        <f t="shared" si="397"/>
        <v>0</v>
      </c>
      <c r="V207" s="282">
        <f t="shared" ref="V207:W207" si="398">V102 * (1 - V$117)</f>
        <v>0</v>
      </c>
      <c r="W207" s="282">
        <f t="shared" si="398"/>
        <v>0</v>
      </c>
      <c r="X207" s="282">
        <f t="shared" ref="X207:Y207" si="399">X102 * (1 - X$117)</f>
        <v>0</v>
      </c>
      <c r="Y207" s="282">
        <f t="shared" si="399"/>
        <v>0</v>
      </c>
      <c r="Z207" s="267"/>
      <c r="AA207" s="267"/>
    </row>
    <row r="208" spans="4:27" x14ac:dyDescent="0.3">
      <c r="F208" t="s">
        <v>197</v>
      </c>
      <c r="G208" t="s">
        <v>269</v>
      </c>
      <c r="H208" s="267"/>
      <c r="I208" s="267"/>
      <c r="J208" s="282">
        <f t="shared" ref="J208:K208" si="400">J103 * (1 - J$118)</f>
        <v>2.0702748291153143E-2</v>
      </c>
      <c r="K208" s="282">
        <f t="shared" si="400"/>
        <v>2.0702748291153143E-2</v>
      </c>
      <c r="L208" s="282">
        <f t="shared" ref="L208:M208" si="401">L103 * (1 - L$118)</f>
        <v>1.8761317289508056E-2</v>
      </c>
      <c r="M208" s="282">
        <f t="shared" si="401"/>
        <v>1.8761317289508056E-2</v>
      </c>
      <c r="N208" s="282">
        <f t="shared" ref="N208:P208" si="402">N103 * (1 - N$118)</f>
        <v>1.1051307218848741E-2</v>
      </c>
      <c r="O208" s="282">
        <f t="shared" si="402"/>
        <v>0</v>
      </c>
      <c r="P208" s="282">
        <f t="shared" si="402"/>
        <v>0</v>
      </c>
      <c r="Q208" s="282">
        <f t="shared" ref="Q208:S208" si="403">Q103 * (1 - Q$118)</f>
        <v>1.5501573343295119E-2</v>
      </c>
      <c r="R208" s="282">
        <f t="shared" si="403"/>
        <v>-1.2310891971520318E-2</v>
      </c>
      <c r="S208" s="282">
        <f t="shared" si="403"/>
        <v>-1.2136845430923896E-2</v>
      </c>
      <c r="T208" s="282">
        <f t="shared" ref="T208:U208" si="404">T103 * (1 - T$118)</f>
        <v>-1.2310891971520318E-2</v>
      </c>
      <c r="U208" s="282">
        <f t="shared" si="404"/>
        <v>-1.2310891971520318E-2</v>
      </c>
      <c r="V208" s="282">
        <f t="shared" ref="V208:W208" si="405">V103 * (1 - V$118)</f>
        <v>-1.2136845430923896E-2</v>
      </c>
      <c r="W208" s="282">
        <f t="shared" si="405"/>
        <v>-1.2136845430923896E-2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8.9673746642069899E-3</v>
      </c>
      <c r="K209" s="282">
        <f t="shared" si="407"/>
        <v>8.9673746642069899E-3</v>
      </c>
      <c r="L209" s="282">
        <f t="shared" ref="L209:M209" si="408">L104 * (1 - L$119)</f>
        <v>8.1264457724666717E-3</v>
      </c>
      <c r="M209" s="282">
        <f t="shared" si="408"/>
        <v>8.1264457724666717E-3</v>
      </c>
      <c r="N209" s="282">
        <f t="shared" ref="N209:P209" si="409">N104 * (1 - N$119)</f>
        <v>0</v>
      </c>
      <c r="O209" s="282">
        <f t="shared" si="409"/>
        <v>0</v>
      </c>
      <c r="P209" s="282">
        <f t="shared" si="409"/>
        <v>0</v>
      </c>
      <c r="Q209" s="282">
        <f t="shared" ref="Q209:S209" si="410">Q104 * (1 - Q$119)</f>
        <v>6.7144909506248133E-3</v>
      </c>
      <c r="R209" s="282">
        <f t="shared" si="410"/>
        <v>-5.3324505136535883E-3</v>
      </c>
      <c r="S209" s="282">
        <f t="shared" si="410"/>
        <v>0</v>
      </c>
      <c r="T209" s="282">
        <f t="shared" ref="T209:U209" si="411">T104 * (1 - T$119)</f>
        <v>-5.3324505136535883E-3</v>
      </c>
      <c r="U209" s="282">
        <f t="shared" si="411"/>
        <v>-5.3324505136535883E-3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1.5969702947258781E-2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0.99704202557624577</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14.404584738069387</v>
      </c>
      <c r="K217" s="435">
        <f t="shared" si="421"/>
        <v>14.404584738069387</v>
      </c>
      <c r="L217" s="435">
        <f t="shared" ref="L217:M217" si="422">SUM(L127:L138,L141:L152)</f>
        <v>13.053773387662252</v>
      </c>
      <c r="M217" s="435">
        <f t="shared" si="422"/>
        <v>13.053773387662252</v>
      </c>
      <c r="N217" s="435">
        <f t="shared" ref="N217:P217" si="423">SUM(N127:N138,N141:N152)</f>
        <v>8.4072143362764926</v>
      </c>
      <c r="O217" s="435">
        <f t="shared" si="423"/>
        <v>6.5529368444037495</v>
      </c>
      <c r="P217" s="435">
        <f t="shared" si="423"/>
        <v>4.8030608077080501</v>
      </c>
      <c r="Q217" s="435">
        <f t="shared" ref="Q217:S217" si="424">SUM(Q127:Q138,Q141:Q152)</f>
        <v>36.675826680472731</v>
      </c>
      <c r="R217" s="435">
        <f t="shared" si="424"/>
        <v>-8.5656881932319084</v>
      </c>
      <c r="S217" s="435">
        <f t="shared" si="424"/>
        <v>-7.756691054523416</v>
      </c>
      <c r="T217" s="435">
        <f t="shared" ref="T217:U217" si="425">SUM(T127:T138,T141:T152)</f>
        <v>-8.5656881932319084</v>
      </c>
      <c r="U217" s="435">
        <f t="shared" si="425"/>
        <v>-8.5656881932319084</v>
      </c>
      <c r="V217" s="435">
        <f t="shared" ref="V217:W217" si="426">SUM(V127:V138,V141:V152)</f>
        <v>-7.756691054523416</v>
      </c>
      <c r="W217" s="435">
        <f t="shared" si="426"/>
        <v>-7.756691054523416</v>
      </c>
      <c r="X217" s="435">
        <f t="shared" ref="X217:Y217" si="427">SUM(X127:X138,X141:X152)</f>
        <v>-5.2246528598629354</v>
      </c>
      <c r="Y217" s="435">
        <f t="shared" si="427"/>
        <v>-5.2246528598629354</v>
      </c>
      <c r="Z217" s="267"/>
      <c r="AA217" s="267"/>
    </row>
    <row r="218" spans="2:27" x14ac:dyDescent="0.3">
      <c r="D218"/>
      <c r="F218" t="s">
        <v>659</v>
      </c>
      <c r="G218" t="s">
        <v>269</v>
      </c>
      <c r="H218" s="267"/>
      <c r="I218" s="267"/>
      <c r="J218" s="435">
        <f t="shared" ref="J218:K218" si="428">SUM(J157:J168,J171:J182)</f>
        <v>0.72371799810694781</v>
      </c>
      <c r="K218" s="435">
        <f t="shared" si="428"/>
        <v>0.72371799810694781</v>
      </c>
      <c r="L218" s="435">
        <f t="shared" ref="L218:M218" si="429">SUM(L157:L168,L171:L182)</f>
        <v>0.65585026681767888</v>
      </c>
      <c r="M218" s="435">
        <f t="shared" si="429"/>
        <v>0.65585026681767888</v>
      </c>
      <c r="N218" s="435">
        <f t="shared" ref="N218:P218" si="430">SUM(N157:N168,N171:N182)</f>
        <v>0.38262023285484648</v>
      </c>
      <c r="O218" s="435">
        <f t="shared" si="430"/>
        <v>0.2361769239194762</v>
      </c>
      <c r="P218" s="435">
        <f t="shared" si="430"/>
        <v>0.1314028636233896</v>
      </c>
      <c r="Q218" s="435">
        <f t="shared" ref="Q218:S218" si="431">SUM(Q157:Q168,Q171:Q182)</f>
        <v>1.9837579977322077</v>
      </c>
      <c r="R218" s="435">
        <f t="shared" si="431"/>
        <v>-0.43035900196627064</v>
      </c>
      <c r="S218" s="435">
        <f t="shared" si="431"/>
        <v>-0.36699458766190662</v>
      </c>
      <c r="T218" s="435">
        <f t="shared" ref="T218:U218" si="432">SUM(T157:T168,T171:T182)</f>
        <v>-0.43035900196627064</v>
      </c>
      <c r="U218" s="435">
        <f t="shared" si="432"/>
        <v>-0.43035900196627064</v>
      </c>
      <c r="V218" s="435">
        <f t="shared" ref="V218:W218" si="433">SUM(V157:V168,V171:V182)</f>
        <v>-0.36699458766190662</v>
      </c>
      <c r="W218" s="435">
        <f t="shared" si="433"/>
        <v>-0.36699458766190662</v>
      </c>
      <c r="X218" s="435">
        <f t="shared" ref="X218:Y218" si="434">SUM(X157:X168,X171:X182)</f>
        <v>-0.1707415547963361</v>
      </c>
      <c r="Y218" s="435">
        <f t="shared" si="434"/>
        <v>-0.1707415547963361</v>
      </c>
      <c r="Z218" s="267"/>
      <c r="AA218" s="267"/>
    </row>
    <row r="219" spans="2:27" x14ac:dyDescent="0.3">
      <c r="D219"/>
      <c r="F219" s="37" t="s">
        <v>660</v>
      </c>
      <c r="G219" s="37" t="s">
        <v>269</v>
      </c>
      <c r="H219" s="269"/>
      <c r="I219" s="269"/>
      <c r="J219" s="273">
        <f t="shared" ref="J219:K219" si="435">SUM(J187:J198,J201:J212)</f>
        <v>6.8790204779568292E-2</v>
      </c>
      <c r="K219" s="273">
        <f t="shared" si="435"/>
        <v>6.8790204779568292E-2</v>
      </c>
      <c r="L219" s="273">
        <f t="shared" ref="L219:M219" si="436">SUM(L187:L198,L201:L212)</f>
        <v>6.2339301049765511E-2</v>
      </c>
      <c r="M219" s="273">
        <f t="shared" si="436"/>
        <v>6.2339301049765511E-2</v>
      </c>
      <c r="N219" s="273">
        <f t="shared" ref="N219:P219" si="437">SUM(N187:N198,N201:N212)</f>
        <v>3.6117671579289766E-2</v>
      </c>
      <c r="O219" s="273">
        <f t="shared" si="437"/>
        <v>2.1862115772109857E-2</v>
      </c>
      <c r="P219" s="273">
        <f t="shared" si="437"/>
        <v>1.1741977572095842E-2</v>
      </c>
      <c r="Q219" s="273">
        <f t="shared" ref="Q219:S219" si="438">SUM(Q187:Q198,Q201:Q212)</f>
        <v>1.0655243781382517</v>
      </c>
      <c r="R219" s="273">
        <f t="shared" si="438"/>
        <v>-4.0906104244232938E-2</v>
      </c>
      <c r="S219" s="273">
        <f t="shared" si="438"/>
        <v>-3.4739995085472319E-2</v>
      </c>
      <c r="T219" s="273">
        <f t="shared" ref="T219:U219" si="439">SUM(T187:T198,T201:T212)</f>
        <v>-4.0906104244232938E-2</v>
      </c>
      <c r="U219" s="273">
        <f t="shared" si="439"/>
        <v>-4.0906104244232938E-2</v>
      </c>
      <c r="V219" s="273">
        <f t="shared" ref="V219:W219" si="440">SUM(V187:V198,V201:V212)</f>
        <v>-3.4739995085472319E-2</v>
      </c>
      <c r="W219" s="273">
        <f t="shared" si="440"/>
        <v>-3.4739995085472319E-2</v>
      </c>
      <c r="X219" s="273">
        <f t="shared" ref="X219:Y219" si="441">SUM(X187:X198,X201:X212)</f>
        <v>-1.55965181875376E-2</v>
      </c>
      <c r="Y219" s="273">
        <f t="shared" si="441"/>
        <v>-1.55965181875376E-2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2.200000000000002E-2</v>
      </c>
    </row>
    <row r="24" spans="2:27" x14ac:dyDescent="0.3">
      <c r="C24" s="88"/>
      <c r="F24" t="s">
        <v>191</v>
      </c>
      <c r="G24" t="s">
        <v>167</v>
      </c>
      <c r="H24" s="25">
        <f>'System peak demand'!H226</f>
        <v>2.200000000000002E-2</v>
      </c>
    </row>
    <row r="25" spans="2:27" x14ac:dyDescent="0.3">
      <c r="C25" s="88"/>
      <c r="F25" t="s">
        <v>192</v>
      </c>
      <c r="G25" t="s">
        <v>167</v>
      </c>
      <c r="H25" s="25">
        <f>'System peak demand'!H227</f>
        <v>5.3682000000000007E-2</v>
      </c>
    </row>
    <row r="26" spans="2:27" x14ac:dyDescent="0.3">
      <c r="C26" s="88"/>
      <c r="F26" t="s">
        <v>193</v>
      </c>
      <c r="G26" t="s">
        <v>167</v>
      </c>
      <c r="H26" s="25">
        <f>'System peak demand'!H228</f>
        <v>5.3682000000000007E-2</v>
      </c>
    </row>
    <row r="27" spans="2:27" x14ac:dyDescent="0.3">
      <c r="C27" s="88"/>
      <c r="F27" t="s">
        <v>194</v>
      </c>
      <c r="G27" t="s">
        <v>167</v>
      </c>
      <c r="H27" s="25">
        <f>'System peak demand'!H229</f>
        <v>0.13270815000000002</v>
      </c>
    </row>
    <row r="28" spans="2:27" x14ac:dyDescent="0.3">
      <c r="C28" s="88"/>
      <c r="F28" t="s">
        <v>195</v>
      </c>
      <c r="G28" t="s">
        <v>167</v>
      </c>
      <c r="H28" s="25">
        <f>'System peak demand'!H230</f>
        <v>0.13270815000000002</v>
      </c>
    </row>
    <row r="29" spans="2:27" x14ac:dyDescent="0.3">
      <c r="C29" s="88"/>
      <c r="F29" t="s">
        <v>196</v>
      </c>
      <c r="G29" t="s">
        <v>167</v>
      </c>
      <c r="H29" s="25">
        <f>'System peak demand'!H231</f>
        <v>5.3682000000000007E-2</v>
      </c>
    </row>
    <row r="30" spans="2:27" x14ac:dyDescent="0.3">
      <c r="C30" s="88"/>
      <c r="F30" t="s">
        <v>197</v>
      </c>
      <c r="G30" t="s">
        <v>167</v>
      </c>
      <c r="H30" s="25">
        <f>'System peak demand'!H232</f>
        <v>0.55181016550000006</v>
      </c>
    </row>
    <row r="31" spans="2:27" x14ac:dyDescent="0.3">
      <c r="C31" s="88"/>
      <c r="F31" t="s">
        <v>198</v>
      </c>
      <c r="G31" t="s">
        <v>167</v>
      </c>
      <c r="H31" s="25">
        <f>'System peak demand'!H233</f>
        <v>0.55181016550000006</v>
      </c>
    </row>
    <row r="32" spans="2:27" x14ac:dyDescent="0.3">
      <c r="C32" s="88"/>
      <c r="F32" t="s">
        <v>199</v>
      </c>
      <c r="G32" t="s">
        <v>167</v>
      </c>
      <c r="H32" s="25">
        <f>'System peak demand'!H234</f>
        <v>0.49113139073731338</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1.0009999999999999</v>
      </c>
    </row>
    <row r="40" spans="3:8" x14ac:dyDescent="0.3">
      <c r="C40" s="88"/>
      <c r="F40" t="s">
        <v>193</v>
      </c>
      <c r="G40" s="28" t="s">
        <v>283</v>
      </c>
      <c r="H40" s="120">
        <v>1.004</v>
      </c>
    </row>
    <row r="41" spans="3:8" x14ac:dyDescent="0.3">
      <c r="C41" s="88"/>
      <c r="F41" t="s">
        <v>194</v>
      </c>
      <c r="G41" s="28" t="s">
        <v>283</v>
      </c>
      <c r="H41" s="120">
        <v>1.0109999999999999</v>
      </c>
    </row>
    <row r="42" spans="3:8" x14ac:dyDescent="0.3">
      <c r="C42" s="88"/>
      <c r="F42" t="s">
        <v>195</v>
      </c>
      <c r="G42" s="28" t="s">
        <v>283</v>
      </c>
      <c r="H42" s="120">
        <v>1.016</v>
      </c>
    </row>
    <row r="43" spans="3:8" x14ac:dyDescent="0.3">
      <c r="C43" s="88"/>
      <c r="F43" t="s">
        <v>196</v>
      </c>
      <c r="G43" s="28" t="s">
        <v>283</v>
      </c>
      <c r="H43" s="120">
        <v>1.016</v>
      </c>
    </row>
    <row r="44" spans="3:8" x14ac:dyDescent="0.3">
      <c r="C44" s="88"/>
      <c r="F44" t="s">
        <v>197</v>
      </c>
      <c r="G44" s="28" t="s">
        <v>283</v>
      </c>
      <c r="H44" s="120">
        <v>1.0329999999999999</v>
      </c>
    </row>
    <row r="45" spans="3:8" x14ac:dyDescent="0.3">
      <c r="C45" s="88"/>
      <c r="F45" t="s">
        <v>198</v>
      </c>
      <c r="G45" s="28" t="s">
        <v>283</v>
      </c>
      <c r="H45" s="120">
        <v>1.046</v>
      </c>
    </row>
    <row r="46" spans="3:8" x14ac:dyDescent="0.3">
      <c r="C46" s="88"/>
      <c r="F46" t="s">
        <v>199</v>
      </c>
      <c r="G46" s="28" t="s">
        <v>283</v>
      </c>
      <c r="H46" s="120">
        <v>1.0609999999999999</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11.07282208248572</v>
      </c>
    </row>
    <row r="54" spans="3:8" x14ac:dyDescent="0.3">
      <c r="C54" s="88"/>
      <c r="E54" s="29"/>
      <c r="F54" t="s">
        <v>193</v>
      </c>
      <c r="G54" t="s">
        <v>585</v>
      </c>
      <c r="H54" s="120">
        <v>1.5748882183718209</v>
      </c>
    </row>
    <row r="55" spans="3:8" x14ac:dyDescent="0.3">
      <c r="C55" s="88"/>
      <c r="E55" s="29"/>
      <c r="F55" t="s">
        <v>194</v>
      </c>
      <c r="G55" t="s">
        <v>585</v>
      </c>
      <c r="H55" s="120">
        <v>4.1618164165796667</v>
      </c>
    </row>
    <row r="56" spans="3:8" x14ac:dyDescent="0.3">
      <c r="C56" s="88"/>
      <c r="E56" s="29"/>
      <c r="F56" t="s">
        <v>195</v>
      </c>
      <c r="G56" t="s">
        <v>585</v>
      </c>
      <c r="H56" s="120">
        <v>4.0333781137317146</v>
      </c>
    </row>
    <row r="57" spans="3:8" x14ac:dyDescent="0.3">
      <c r="C57" s="88"/>
      <c r="E57" s="29"/>
      <c r="F57" t="s">
        <v>196</v>
      </c>
      <c r="G57" t="s">
        <v>585</v>
      </c>
      <c r="H57" s="120">
        <v>0</v>
      </c>
    </row>
    <row r="58" spans="3:8" x14ac:dyDescent="0.3">
      <c r="C58" s="88"/>
      <c r="E58" s="29"/>
      <c r="F58" t="s">
        <v>197</v>
      </c>
      <c r="G58" t="s">
        <v>585</v>
      </c>
      <c r="H58" s="120">
        <v>15.738862035529026</v>
      </c>
    </row>
    <row r="59" spans="3:8" x14ac:dyDescent="0.3">
      <c r="C59" s="88"/>
      <c r="E59" s="29"/>
      <c r="F59" t="s">
        <v>198</v>
      </c>
      <c r="G59" t="s">
        <v>585</v>
      </c>
      <c r="H59" s="120">
        <v>6.9030656689166614</v>
      </c>
    </row>
    <row r="60" spans="3:8" x14ac:dyDescent="0.3">
      <c r="C60" s="88"/>
      <c r="E60" s="29"/>
      <c r="F60" t="s">
        <v>199</v>
      </c>
      <c r="G60" t="s">
        <v>585</v>
      </c>
      <c r="H60" s="120">
        <v>16.65365061988464</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3.4150024141026689</v>
      </c>
    </row>
    <row r="66" spans="3:25" x14ac:dyDescent="0.3">
      <c r="C66" s="88"/>
      <c r="F66" t="s">
        <v>191</v>
      </c>
      <c r="G66" t="s">
        <v>585</v>
      </c>
      <c r="H66" s="120">
        <v>0</v>
      </c>
    </row>
    <row r="67" spans="3:25" x14ac:dyDescent="0.3">
      <c r="C67" s="88"/>
      <c r="F67" t="s">
        <v>192</v>
      </c>
      <c r="G67" t="s">
        <v>585</v>
      </c>
      <c r="H67" s="120">
        <v>8.8002455898784753</v>
      </c>
    </row>
    <row r="68" spans="3:25" x14ac:dyDescent="0.3">
      <c r="C68" s="88"/>
      <c r="F68" t="s">
        <v>193</v>
      </c>
      <c r="G68" t="s">
        <v>585</v>
      </c>
      <c r="H68" s="120">
        <v>1.2516595132689889</v>
      </c>
    </row>
    <row r="69" spans="3:25" x14ac:dyDescent="0.3">
      <c r="C69" s="88"/>
      <c r="F69" t="s">
        <v>194</v>
      </c>
      <c r="G69" t="s">
        <v>585</v>
      </c>
      <c r="H69" s="120">
        <v>3.3076487902591829</v>
      </c>
    </row>
    <row r="70" spans="3:25" x14ac:dyDescent="0.3">
      <c r="C70" s="88"/>
      <c r="F70" t="s">
        <v>195</v>
      </c>
      <c r="G70" t="s">
        <v>585</v>
      </c>
      <c r="H70" s="120">
        <v>3.2055710543586864</v>
      </c>
    </row>
    <row r="71" spans="3:25" x14ac:dyDescent="0.3">
      <c r="C71" s="88"/>
      <c r="F71" t="s">
        <v>196</v>
      </c>
      <c r="G71" t="s">
        <v>585</v>
      </c>
      <c r="H71" s="120">
        <v>0</v>
      </c>
    </row>
    <row r="72" spans="3:25" x14ac:dyDescent="0.3">
      <c r="C72" s="88"/>
      <c r="F72" t="s">
        <v>197</v>
      </c>
      <c r="G72" t="s">
        <v>585</v>
      </c>
      <c r="H72" s="120">
        <v>12.508631511107705</v>
      </c>
    </row>
    <row r="73" spans="3:25" x14ac:dyDescent="0.3">
      <c r="C73" s="88"/>
      <c r="F73" t="s">
        <v>198</v>
      </c>
      <c r="G73" t="s">
        <v>585</v>
      </c>
      <c r="H73" s="120">
        <v>5.4862864007915135</v>
      </c>
    </row>
    <row r="74" spans="3:25" x14ac:dyDescent="0.3">
      <c r="C74" s="88"/>
      <c r="F74" t="s">
        <v>199</v>
      </c>
      <c r="G74" t="s">
        <v>585</v>
      </c>
      <c r="H74" s="120">
        <v>13.235669672217526</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1.0609999999999999</v>
      </c>
      <c r="K80" s="124">
        <v>1.0609999999999999</v>
      </c>
      <c r="L80" s="124">
        <v>1.0609999999999999</v>
      </c>
      <c r="M80" s="124">
        <v>1.0609999999999999</v>
      </c>
      <c r="N80" s="124">
        <v>1.0609999999999999</v>
      </c>
      <c r="O80" s="124">
        <v>1.046</v>
      </c>
      <c r="P80" s="124">
        <v>1.0329999999999999</v>
      </c>
      <c r="Q80" s="124">
        <v>1.0609999999999999</v>
      </c>
      <c r="R80" s="124">
        <v>-1.0609999999999999</v>
      </c>
      <c r="S80" s="124">
        <v>-1.046</v>
      </c>
      <c r="T80" s="124">
        <v>-1.0609999999999999</v>
      </c>
      <c r="U80" s="124">
        <v>-1.0609999999999999</v>
      </c>
      <c r="V80" s="124">
        <v>-1.046</v>
      </c>
      <c r="W80" s="124">
        <v>-1.046</v>
      </c>
      <c r="X80" s="124">
        <v>-1.0329999999999999</v>
      </c>
      <c r="Y80" s="124">
        <v>-1.0329999999999999</v>
      </c>
    </row>
    <row r="81" spans="3:42" x14ac:dyDescent="0.3">
      <c r="C81" s="88"/>
      <c r="F81" t="s">
        <v>191</v>
      </c>
      <c r="G81" s="28" t="s">
        <v>283</v>
      </c>
      <c r="H81" s="209"/>
      <c r="I81" s="209"/>
      <c r="J81" s="120">
        <v>1.0609999999999999</v>
      </c>
      <c r="K81" s="120">
        <v>1.0609999999999999</v>
      </c>
      <c r="L81" s="120">
        <v>1.0609999999999999</v>
      </c>
      <c r="M81" s="120">
        <v>1.0609999999999999</v>
      </c>
      <c r="N81" s="120">
        <v>1.0609999999999999</v>
      </c>
      <c r="O81" s="120">
        <v>1.046</v>
      </c>
      <c r="P81" s="120">
        <v>1.0329999999999999</v>
      </c>
      <c r="Q81" s="120">
        <v>1.0609999999999999</v>
      </c>
      <c r="R81" s="120">
        <v>-1.0609999999999999</v>
      </c>
      <c r="S81" s="120">
        <v>-1.046</v>
      </c>
      <c r="T81" s="120">
        <v>-1.0609999999999999</v>
      </c>
      <c r="U81" s="120">
        <v>-1.0609999999999999</v>
      </c>
      <c r="V81" s="120">
        <v>-1.046</v>
      </c>
      <c r="W81" s="120">
        <v>-1.046</v>
      </c>
      <c r="X81" s="120">
        <v>-1.0329999999999999</v>
      </c>
      <c r="Y81" s="120">
        <v>-1.0329999999999999</v>
      </c>
    </row>
    <row r="82" spans="3:42" x14ac:dyDescent="0.3">
      <c r="C82" s="88"/>
      <c r="F82" t="s">
        <v>192</v>
      </c>
      <c r="G82" s="28" t="s">
        <v>283</v>
      </c>
      <c r="H82" s="209"/>
      <c r="I82" s="209"/>
      <c r="J82" s="120">
        <v>1.0609999999999999</v>
      </c>
      <c r="K82" s="120">
        <v>1.0609999999999999</v>
      </c>
      <c r="L82" s="120">
        <v>1.0609999999999999</v>
      </c>
      <c r="M82" s="120">
        <v>1.0609999999999999</v>
      </c>
      <c r="N82" s="120">
        <v>1.0609999999999999</v>
      </c>
      <c r="O82" s="120">
        <v>1.046</v>
      </c>
      <c r="P82" s="120">
        <v>1.0329999999999999</v>
      </c>
      <c r="Q82" s="120">
        <v>1.0609999999999999</v>
      </c>
      <c r="R82" s="120">
        <v>-1.0609999999999999</v>
      </c>
      <c r="S82" s="120">
        <v>-1.046</v>
      </c>
      <c r="T82" s="120">
        <v>-1.0609999999999999</v>
      </c>
      <c r="U82" s="120">
        <v>-1.0609999999999999</v>
      </c>
      <c r="V82" s="120">
        <v>-1.046</v>
      </c>
      <c r="W82" s="120">
        <v>-1.046</v>
      </c>
      <c r="X82" s="120">
        <v>-1.0329999999999999</v>
      </c>
      <c r="Y82" s="120">
        <v>-1.0329999999999999</v>
      </c>
    </row>
    <row r="83" spans="3:42" x14ac:dyDescent="0.3">
      <c r="C83" s="88"/>
      <c r="F83" t="s">
        <v>193</v>
      </c>
      <c r="G83" s="28" t="s">
        <v>283</v>
      </c>
      <c r="H83" s="209"/>
      <c r="I83" s="209"/>
      <c r="J83" s="120">
        <v>1.0609999999999999</v>
      </c>
      <c r="K83" s="120">
        <v>1.0609999999999999</v>
      </c>
      <c r="L83" s="120">
        <v>1.0609999999999999</v>
      </c>
      <c r="M83" s="120">
        <v>1.0609999999999999</v>
      </c>
      <c r="N83" s="120">
        <v>1.0609999999999999</v>
      </c>
      <c r="O83" s="120">
        <v>1.046</v>
      </c>
      <c r="P83" s="120">
        <v>1.0329999999999999</v>
      </c>
      <c r="Q83" s="120">
        <v>1.0609999999999999</v>
      </c>
      <c r="R83" s="120">
        <v>-1.0609999999999999</v>
      </c>
      <c r="S83" s="120">
        <v>-1.046</v>
      </c>
      <c r="T83" s="120">
        <v>-1.0609999999999999</v>
      </c>
      <c r="U83" s="120">
        <v>-1.0609999999999999</v>
      </c>
      <c r="V83" s="120">
        <v>-1.046</v>
      </c>
      <c r="W83" s="120">
        <v>-1.046</v>
      </c>
      <c r="X83" s="120">
        <v>-1.0329999999999999</v>
      </c>
      <c r="Y83" s="120">
        <v>-1.0329999999999999</v>
      </c>
    </row>
    <row r="84" spans="3:42" x14ac:dyDescent="0.3">
      <c r="C84" s="88"/>
      <c r="F84" t="s">
        <v>194</v>
      </c>
      <c r="G84" s="28" t="s">
        <v>283</v>
      </c>
      <c r="H84" s="209"/>
      <c r="I84" s="209"/>
      <c r="J84" s="120">
        <v>1.0609999999999999</v>
      </c>
      <c r="K84" s="120">
        <v>1.0609999999999999</v>
      </c>
      <c r="L84" s="120">
        <v>1.0609999999999999</v>
      </c>
      <c r="M84" s="120">
        <v>1.0609999999999999</v>
      </c>
      <c r="N84" s="120">
        <v>1.0609999999999999</v>
      </c>
      <c r="O84" s="120">
        <v>1.046</v>
      </c>
      <c r="P84" s="120">
        <v>1.0329999999999999</v>
      </c>
      <c r="Q84" s="120">
        <v>1.0609999999999999</v>
      </c>
      <c r="R84" s="120">
        <v>-1.0609999999999999</v>
      </c>
      <c r="S84" s="120">
        <v>-1.046</v>
      </c>
      <c r="T84" s="120">
        <v>-1.0609999999999999</v>
      </c>
      <c r="U84" s="120">
        <v>-1.0609999999999999</v>
      </c>
      <c r="V84" s="120">
        <v>-1.046</v>
      </c>
      <c r="W84" s="120">
        <v>-1.046</v>
      </c>
      <c r="X84" s="120">
        <v>-1.0329999999999999</v>
      </c>
      <c r="Y84" s="120">
        <v>-1.0329999999999999</v>
      </c>
    </row>
    <row r="85" spans="3:42" x14ac:dyDescent="0.3">
      <c r="C85" s="88"/>
      <c r="F85" t="s">
        <v>195</v>
      </c>
      <c r="G85" s="28" t="s">
        <v>283</v>
      </c>
      <c r="H85" s="209"/>
      <c r="I85" s="209"/>
      <c r="J85" s="120">
        <v>1.0609999999999999</v>
      </c>
      <c r="K85" s="120">
        <v>1.0609999999999999</v>
      </c>
      <c r="L85" s="120">
        <v>1.0609999999999999</v>
      </c>
      <c r="M85" s="120">
        <v>1.0609999999999999</v>
      </c>
      <c r="N85" s="120">
        <v>1.0609999999999999</v>
      </c>
      <c r="O85" s="120">
        <v>1.046</v>
      </c>
      <c r="P85" s="120">
        <v>1.0329999999999999</v>
      </c>
      <c r="Q85" s="120">
        <v>1.0609999999999999</v>
      </c>
      <c r="R85" s="120">
        <v>-1.0609999999999999</v>
      </c>
      <c r="S85" s="120">
        <v>-1.046</v>
      </c>
      <c r="T85" s="120">
        <v>-1.0609999999999999</v>
      </c>
      <c r="U85" s="120">
        <v>-1.0609999999999999</v>
      </c>
      <c r="V85" s="120">
        <v>-1.046</v>
      </c>
      <c r="W85" s="120">
        <v>-1.046</v>
      </c>
      <c r="X85" s="120">
        <v>-1.0329999999999999</v>
      </c>
      <c r="Y85" s="120">
        <v>-1.0329999999999999</v>
      </c>
    </row>
    <row r="86" spans="3:42" x14ac:dyDescent="0.3">
      <c r="C86" s="88"/>
      <c r="F86" t="s">
        <v>196</v>
      </c>
      <c r="G86" s="28" t="s">
        <v>283</v>
      </c>
      <c r="H86" s="209"/>
      <c r="I86" s="209"/>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row>
    <row r="87" spans="3:42" x14ac:dyDescent="0.3">
      <c r="C87" s="88"/>
      <c r="F87" t="s">
        <v>197</v>
      </c>
      <c r="G87" s="28" t="s">
        <v>283</v>
      </c>
      <c r="H87" s="209"/>
      <c r="I87" s="209"/>
      <c r="J87" s="120">
        <v>1.0609999999999999</v>
      </c>
      <c r="K87" s="120">
        <v>1.0609999999999999</v>
      </c>
      <c r="L87" s="120">
        <v>1.0609999999999999</v>
      </c>
      <c r="M87" s="120">
        <v>1.0609999999999999</v>
      </c>
      <c r="N87" s="120">
        <v>1.0609999999999999</v>
      </c>
      <c r="O87" s="120">
        <v>1.046</v>
      </c>
      <c r="P87" s="120">
        <v>1.0329999999999999</v>
      </c>
      <c r="Q87" s="120">
        <v>1.0609999999999999</v>
      </c>
      <c r="R87" s="120">
        <v>-1.0609999999999999</v>
      </c>
      <c r="S87" s="120">
        <v>-1.046</v>
      </c>
      <c r="T87" s="120">
        <v>-1.0609999999999999</v>
      </c>
      <c r="U87" s="120">
        <v>-1.0609999999999999</v>
      </c>
      <c r="V87" s="120">
        <v>-1.046</v>
      </c>
      <c r="W87" s="120">
        <v>-1.046</v>
      </c>
      <c r="X87" s="120">
        <v>0</v>
      </c>
      <c r="Y87" s="120">
        <v>0</v>
      </c>
    </row>
    <row r="88" spans="3:42" x14ac:dyDescent="0.3">
      <c r="C88" s="88"/>
      <c r="F88" t="s">
        <v>198</v>
      </c>
      <c r="G88" s="28" t="s">
        <v>283</v>
      </c>
      <c r="H88" s="209"/>
      <c r="I88" s="209"/>
      <c r="J88" s="120">
        <v>1.0609999999999999</v>
      </c>
      <c r="K88" s="120">
        <v>1.0609999999999999</v>
      </c>
      <c r="L88" s="120">
        <v>1.0609999999999999</v>
      </c>
      <c r="M88" s="120">
        <v>1.0609999999999999</v>
      </c>
      <c r="N88" s="120">
        <v>1.0609999999999999</v>
      </c>
      <c r="O88" s="120">
        <v>1.046</v>
      </c>
      <c r="P88" s="120">
        <v>0</v>
      </c>
      <c r="Q88" s="120">
        <v>1.0609999999999999</v>
      </c>
      <c r="R88" s="120">
        <v>-1.0609999999999999</v>
      </c>
      <c r="S88" s="120">
        <v>0</v>
      </c>
      <c r="T88" s="120">
        <v>-1.0609999999999999</v>
      </c>
      <c r="U88" s="120">
        <v>-1.0609999999999999</v>
      </c>
      <c r="V88" s="120">
        <v>0</v>
      </c>
      <c r="W88" s="120">
        <v>0</v>
      </c>
      <c r="X88" s="120">
        <v>0</v>
      </c>
      <c r="Y88" s="120">
        <v>0</v>
      </c>
    </row>
    <row r="89" spans="3:42" x14ac:dyDescent="0.3">
      <c r="C89" s="88"/>
      <c r="F89" t="s">
        <v>199</v>
      </c>
      <c r="G89" s="28" t="s">
        <v>283</v>
      </c>
      <c r="H89" s="209"/>
      <c r="I89" s="209"/>
      <c r="J89" s="120">
        <v>1.0609999999999999</v>
      </c>
      <c r="K89" s="120">
        <v>1.0609999999999999</v>
      </c>
      <c r="L89" s="120">
        <v>1.0609999999999999</v>
      </c>
      <c r="M89" s="120">
        <v>1.0609999999999999</v>
      </c>
      <c r="N89" s="120">
        <v>1.0609999999999999</v>
      </c>
      <c r="O89" s="120">
        <v>0</v>
      </c>
      <c r="P89" s="120">
        <v>0</v>
      </c>
      <c r="Q89" s="120">
        <v>1.0609999999999999</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0.67</v>
      </c>
      <c r="Q108" s="25">
        <v>0</v>
      </c>
      <c r="R108" s="25">
        <v>0</v>
      </c>
      <c r="S108" s="25">
        <v>0</v>
      </c>
      <c r="T108" s="25">
        <v>0</v>
      </c>
      <c r="U108" s="25">
        <v>0</v>
      </c>
      <c r="V108" s="25">
        <v>0</v>
      </c>
      <c r="W108" s="25">
        <v>0</v>
      </c>
      <c r="X108" s="25">
        <v>0.67</v>
      </c>
      <c r="Y108" s="25">
        <v>0.67</v>
      </c>
    </row>
    <row r="109" spans="3:42" x14ac:dyDescent="0.3">
      <c r="C109" s="88"/>
      <c r="F109" t="s">
        <v>194</v>
      </c>
      <c r="G109" t="s">
        <v>167</v>
      </c>
      <c r="H109" s="209"/>
      <c r="I109" s="209"/>
      <c r="J109" s="25">
        <v>0</v>
      </c>
      <c r="K109" s="25">
        <v>0</v>
      </c>
      <c r="L109" s="25">
        <v>0</v>
      </c>
      <c r="M109" s="25">
        <v>0</v>
      </c>
      <c r="N109" s="25">
        <v>0</v>
      </c>
      <c r="O109" s="25">
        <v>0</v>
      </c>
      <c r="P109" s="25">
        <v>0.67</v>
      </c>
      <c r="Q109" s="25">
        <v>0</v>
      </c>
      <c r="R109" s="25">
        <v>0</v>
      </c>
      <c r="S109" s="25">
        <v>0</v>
      </c>
      <c r="T109" s="25">
        <v>0</v>
      </c>
      <c r="U109" s="25">
        <v>0</v>
      </c>
      <c r="V109" s="25">
        <v>0</v>
      </c>
      <c r="W109" s="25">
        <v>0</v>
      </c>
      <c r="X109" s="25">
        <v>0.67</v>
      </c>
      <c r="Y109" s="25">
        <v>0.67</v>
      </c>
    </row>
    <row r="110" spans="3:42" x14ac:dyDescent="0.3">
      <c r="C110" s="88"/>
      <c r="F110" t="s">
        <v>195</v>
      </c>
      <c r="G110" t="s">
        <v>167</v>
      </c>
      <c r="H110" s="209"/>
      <c r="I110" s="209"/>
      <c r="J110" s="25">
        <v>0.81</v>
      </c>
      <c r="K110" s="25">
        <v>0.81</v>
      </c>
      <c r="L110" s="25">
        <v>0.81</v>
      </c>
      <c r="M110" s="25">
        <v>0.81</v>
      </c>
      <c r="N110" s="25">
        <v>0.81</v>
      </c>
      <c r="O110" s="25">
        <v>0.81</v>
      </c>
      <c r="P110" s="25">
        <v>1</v>
      </c>
      <c r="Q110" s="25">
        <v>0.81</v>
      </c>
      <c r="R110" s="25">
        <v>0.81</v>
      </c>
      <c r="S110" s="25">
        <v>0.81</v>
      </c>
      <c r="T110" s="25">
        <v>0.81</v>
      </c>
      <c r="U110" s="25">
        <v>0.81</v>
      </c>
      <c r="V110" s="25">
        <v>0.81</v>
      </c>
      <c r="W110" s="25">
        <v>0.81</v>
      </c>
      <c r="X110" s="25">
        <v>1</v>
      </c>
      <c r="Y110" s="25">
        <v>1</v>
      </c>
    </row>
    <row r="111" spans="3:42" x14ac:dyDescent="0.3">
      <c r="C111" s="88"/>
      <c r="F111" t="s">
        <v>196</v>
      </c>
      <c r="G111" t="s">
        <v>167</v>
      </c>
      <c r="H111" s="209"/>
      <c r="I111" s="209"/>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42" x14ac:dyDescent="0.3">
      <c r="C112" s="88"/>
      <c r="F112" t="s">
        <v>197</v>
      </c>
      <c r="G112" t="s">
        <v>167</v>
      </c>
      <c r="H112" s="209"/>
      <c r="I112" s="209"/>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2:27" x14ac:dyDescent="0.3">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3">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6.4489459337489077E-2</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0.10303010342216094</v>
      </c>
      <c r="O139" s="98">
        <f t="shared" si="22"/>
        <v>0.5078675220526877</v>
      </c>
      <c r="P139" s="98">
        <f t="shared" si="22"/>
        <v>0</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5.8720244725934664E-2</v>
      </c>
      <c r="O140" s="98">
        <f t="shared" si="26"/>
        <v>5.7890081039894105E-2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0.14534305400921746</v>
      </c>
      <c r="K141" s="98">
        <f t="shared" si="28"/>
        <v>0.14534305400921746</v>
      </c>
      <c r="L141" s="98">
        <f t="shared" ref="L141:M141" si="29">hundred*L102*$H60*L89/$H46*(1-L114)/days_in_year/(1+$H32)*PowerFactor</f>
        <v>0.14534305400921746</v>
      </c>
      <c r="M141" s="98">
        <f t="shared" si="29"/>
        <v>0.14534305400921746</v>
      </c>
      <c r="N141" s="98">
        <f t="shared" ref="N141:P141" si="30">hundred*N102*$H60*N89/$H46*(1-N114)/days_in_year/(1+$H32)*PowerFactor</f>
        <v>0.14534305400921746</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0.15531423666602329</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0.74890156289469167</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0.43096996578474583</v>
      </c>
      <c r="O153" s="98">
        <f t="shared" si="62"/>
        <v>2.1243854109841855</v>
      </c>
      <c r="P153" s="98">
        <f t="shared" si="62"/>
        <v>2.0979829154365812</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0.93337104278656657</v>
      </c>
      <c r="O154" s="98">
        <f t="shared" si="66"/>
        <v>0.92017541070193087</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2.3102594090935686</v>
      </c>
      <c r="K155" s="98">
        <f t="shared" si="68"/>
        <v>2.3102594090935686</v>
      </c>
      <c r="L155" s="98">
        <f t="shared" ref="L155:M155" si="69">hundred*L102*$H74*L89/$H46/days_in_year/(1+$H32)*PowerFactor</f>
        <v>2.3102594090935686</v>
      </c>
      <c r="M155" s="98">
        <f t="shared" si="69"/>
        <v>2.3102594090935686</v>
      </c>
      <c r="N155" s="98">
        <f t="shared" ref="N155:P155" si="70">hundred*N102*$H74*N89/$H46/days_in_year/(1+$H32)*PowerFactor</f>
        <v>2.3102594090935686</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0.19542260405299719</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0.94229799367939215</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0.54226370222189979</v>
      </c>
      <c r="O169" s="98">
        <f t="shared" si="94"/>
        <v>2.6729869581720411</v>
      </c>
      <c r="P169" s="98">
        <f t="shared" si="94"/>
        <v>2.6397662789595775</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1.174404894518692</v>
      </c>
      <c r="O170" s="98">
        <f t="shared" si="98"/>
        <v>1.1578016207978814</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2.9068610801843464</v>
      </c>
      <c r="K171" s="98">
        <f t="shared" si="100"/>
        <v>2.9068610801843464</v>
      </c>
      <c r="L171" s="98">
        <f t="shared" ref="L171:M171" si="101">hundred*L102*$H60*L89/$H46/days_in_year/(1+$H32)*PowerFactor</f>
        <v>2.9068610801843464</v>
      </c>
      <c r="M171" s="98">
        <f t="shared" si="101"/>
        <v>2.9068610801843464</v>
      </c>
      <c r="N171" s="98">
        <f t="shared" ref="N171:P171" si="102">hundred*N102*$H60*N89/$H46/days_in_year/(1+$H32)*PowerFactor</f>
        <v>2.9068610801843464</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0.15531423666602329</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0.74890156289469167</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0.43096996578474583</v>
      </c>
      <c r="O183" s="98">
        <f t="shared" si="134"/>
        <v>2.1243854109841855</v>
      </c>
      <c r="P183" s="98">
        <f t="shared" si="134"/>
        <v>2.0979829154365812</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0.93337104278656657</v>
      </c>
      <c r="O184" s="98">
        <f t="shared" si="138"/>
        <v>0.92017541070193087</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2.3102594090935686</v>
      </c>
      <c r="K185" s="98">
        <f t="shared" si="140"/>
        <v>2.3102594090935686</v>
      </c>
      <c r="L185" s="98">
        <f t="shared" ref="L185:M185" si="141">hundred*L102*$H74*L89/$H46/days_in_year/(1+$H32)*PowerFactor</f>
        <v>2.3102594090935686</v>
      </c>
      <c r="M185" s="98">
        <f t="shared" si="141"/>
        <v>2.3102594090935686</v>
      </c>
      <c r="N185" s="98">
        <f t="shared" ref="N185:P185" si="142">hundred*N102*$H74*N89/$H46/days_in_year/(1+$H32)*PowerFactor</f>
        <v>2.3102594090935686</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6.4489459337489077E-2</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0.10303010342216094</v>
      </c>
      <c r="O199" s="98">
        <f t="shared" si="166"/>
        <v>0.5078675220526877</v>
      </c>
      <c r="P199" s="98">
        <f t="shared" si="166"/>
        <v>0</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5.8720244725934664E-2</v>
      </c>
      <c r="O200" s="98">
        <f t="shared" si="170"/>
        <v>5.7890081039894105E-2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0.14534305400921746</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0.15531423666602329</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0.74890156289469167</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0.43096996578474583</v>
      </c>
      <c r="O213" s="98">
        <f t="shared" si="206"/>
        <v>2.1243854109841855</v>
      </c>
      <c r="P213" s="98">
        <f t="shared" si="206"/>
        <v>2.0979829154365812</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0.93337104278656657</v>
      </c>
      <c r="O214" s="98">
        <f t="shared" si="210"/>
        <v>0.92017541070193087</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2.3102594090935686</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0.19542260405299719</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0.94229799367939215</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0.54226370222189979</v>
      </c>
      <c r="O229" s="98">
        <f t="shared" si="238"/>
        <v>2.6729869581720411</v>
      </c>
      <c r="P229" s="98">
        <f t="shared" si="238"/>
        <v>2.6397662789595775</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1.174404894518692</v>
      </c>
      <c r="O230" s="98">
        <f t="shared" si="242"/>
        <v>1.1578016207978814</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2.9068610801843464</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0.15531423666602329</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0.74890156289469167</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0.43096996578474583</v>
      </c>
      <c r="O243" s="98">
        <f t="shared" si="278"/>
        <v>2.1243854109841855</v>
      </c>
      <c r="P243" s="98">
        <f t="shared" si="278"/>
        <v>2.0979829154365812</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0.93337104278656657</v>
      </c>
      <c r="O244" s="98">
        <f t="shared" si="282"/>
        <v>0.92017541070193087</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2.3102594090935686</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3.9816938198221941</v>
      </c>
      <c r="O256" s="131">
        <f t="shared" si="290"/>
        <v>3.6103184247786979</v>
      </c>
      <c r="P256" s="131">
        <f t="shared" si="290"/>
        <v>3.0666881743347854</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8.2981300945898191</v>
      </c>
      <c r="O257" s="121">
        <f t="shared" si="294"/>
        <v>6.8753494006560389</v>
      </c>
      <c r="P257" s="121">
        <f t="shared" si="294"/>
        <v>6.7796855916892635</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0.14534305400921746</v>
      </c>
      <c r="K271" s="121">
        <f t="shared" si="324"/>
        <v>0</v>
      </c>
      <c r="L271" s="121">
        <f t="shared" ref="L271:M271" si="325">L$123 * L141</f>
        <v>0.14534305400921746</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2.3102594090935686</v>
      </c>
      <c r="K285" s="121">
        <f t="shared" si="364"/>
        <v>0</v>
      </c>
      <c r="L285" s="121">
        <f t="shared" ref="L285:M285" si="365">L$123 * L155</f>
        <v>2.3102594090935686</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108"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0.15639750326533342</v>
      </c>
    </row>
    <row r="23" spans="3:27" x14ac:dyDescent="0.3">
      <c r="C23" s="88"/>
      <c r="E23" t="s">
        <v>192</v>
      </c>
      <c r="G23" t="s">
        <v>667</v>
      </c>
      <c r="H23" s="120">
        <v>0.15639750326533342</v>
      </c>
    </row>
    <row r="24" spans="3:27" x14ac:dyDescent="0.3">
      <c r="C24" s="88"/>
      <c r="E24" t="s">
        <v>193</v>
      </c>
      <c r="G24" t="s">
        <v>667</v>
      </c>
      <c r="H24" s="120">
        <v>0.15639750326533342</v>
      </c>
    </row>
    <row r="25" spans="3:27" x14ac:dyDescent="0.3">
      <c r="C25" s="88"/>
      <c r="E25" t="s">
        <v>194</v>
      </c>
      <c r="G25" t="s">
        <v>667</v>
      </c>
      <c r="H25" s="120">
        <v>0.15639750326533342</v>
      </c>
    </row>
    <row r="26" spans="3:27" x14ac:dyDescent="0.3">
      <c r="C26" s="88"/>
      <c r="E26" t="s">
        <v>195</v>
      </c>
      <c r="G26" t="s">
        <v>667</v>
      </c>
      <c r="H26" s="120">
        <v>0.15639750326533342</v>
      </c>
    </row>
    <row r="27" spans="3:27" x14ac:dyDescent="0.3">
      <c r="C27" s="88"/>
      <c r="E27" t="s">
        <v>196</v>
      </c>
      <c r="G27" t="s">
        <v>667</v>
      </c>
      <c r="H27" s="120">
        <v>0.15639750326533342</v>
      </c>
    </row>
    <row r="28" spans="3:27" x14ac:dyDescent="0.3">
      <c r="C28" s="88"/>
      <c r="E28" t="s">
        <v>197</v>
      </c>
      <c r="G28" t="s">
        <v>667</v>
      </c>
      <c r="H28" s="120">
        <v>0.15639750326533342</v>
      </c>
    </row>
    <row r="29" spans="3:27" x14ac:dyDescent="0.3">
      <c r="C29" s="88"/>
      <c r="E29" t="s">
        <v>198</v>
      </c>
      <c r="G29" t="s">
        <v>667</v>
      </c>
      <c r="H29" s="120">
        <v>0.15639750326533342</v>
      </c>
    </row>
    <row r="30" spans="3:27" x14ac:dyDescent="0.3">
      <c r="C30" s="88"/>
      <c r="E30" t="s">
        <v>199</v>
      </c>
      <c r="G30" t="s">
        <v>667</v>
      </c>
      <c r="H30" s="120">
        <v>0.15639750326533342</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1.0009999999999999</v>
      </c>
    </row>
    <row r="38" spans="3:8" x14ac:dyDescent="0.3">
      <c r="C38" s="88"/>
      <c r="E38" t="s">
        <v>193</v>
      </c>
      <c r="G38" s="28" t="s">
        <v>283</v>
      </c>
      <c r="H38" s="120">
        <v>1.004</v>
      </c>
    </row>
    <row r="39" spans="3:8" x14ac:dyDescent="0.3">
      <c r="C39" s="88"/>
      <c r="E39" t="s">
        <v>194</v>
      </c>
      <c r="G39" s="28" t="s">
        <v>283</v>
      </c>
      <c r="H39" s="120">
        <v>1.0109999999999999</v>
      </c>
    </row>
    <row r="40" spans="3:8" x14ac:dyDescent="0.3">
      <c r="C40" s="88"/>
      <c r="E40" t="s">
        <v>195</v>
      </c>
      <c r="G40" s="28" t="s">
        <v>283</v>
      </c>
      <c r="H40" s="120">
        <v>1.016</v>
      </c>
    </row>
    <row r="41" spans="3:8" x14ac:dyDescent="0.3">
      <c r="C41" s="88"/>
      <c r="E41" t="s">
        <v>196</v>
      </c>
      <c r="G41" s="28" t="s">
        <v>283</v>
      </c>
      <c r="H41" s="120">
        <v>1.016</v>
      </c>
    </row>
    <row r="42" spans="3:8" x14ac:dyDescent="0.3">
      <c r="C42" s="88"/>
      <c r="E42" t="s">
        <v>197</v>
      </c>
      <c r="G42" s="28" t="s">
        <v>283</v>
      </c>
      <c r="H42" s="120">
        <v>1.0329999999999999</v>
      </c>
    </row>
    <row r="43" spans="3:8" x14ac:dyDescent="0.3">
      <c r="C43" s="88"/>
      <c r="E43" t="s">
        <v>198</v>
      </c>
      <c r="G43" s="28" t="s">
        <v>283</v>
      </c>
      <c r="H43" s="120">
        <v>1.046</v>
      </c>
    </row>
    <row r="44" spans="3:8" x14ac:dyDescent="0.3">
      <c r="C44" s="88"/>
      <c r="E44" t="s">
        <v>199</v>
      </c>
      <c r="G44" s="28" t="s">
        <v>283</v>
      </c>
      <c r="H44" s="120">
        <v>1.0609999999999999</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11.07282208248572</v>
      </c>
    </row>
    <row r="52" spans="3:8" x14ac:dyDescent="0.3">
      <c r="C52" s="88"/>
      <c r="E52" t="s">
        <v>193</v>
      </c>
      <c r="G52" t="s">
        <v>585</v>
      </c>
      <c r="H52" s="120">
        <v>1.5748882183718209</v>
      </c>
    </row>
    <row r="53" spans="3:8" x14ac:dyDescent="0.3">
      <c r="C53" s="88"/>
      <c r="E53" t="s">
        <v>194</v>
      </c>
      <c r="G53" t="s">
        <v>585</v>
      </c>
      <c r="H53" s="120">
        <v>4.1618164165796667</v>
      </c>
    </row>
    <row r="54" spans="3:8" x14ac:dyDescent="0.3">
      <c r="C54" s="88"/>
      <c r="E54" t="s">
        <v>195</v>
      </c>
      <c r="G54" t="s">
        <v>585</v>
      </c>
      <c r="H54" s="120">
        <v>4.0333781137317146</v>
      </c>
    </row>
    <row r="55" spans="3:8" x14ac:dyDescent="0.3">
      <c r="C55" s="88"/>
      <c r="E55" t="s">
        <v>196</v>
      </c>
      <c r="G55" t="s">
        <v>585</v>
      </c>
      <c r="H55" s="120">
        <v>0</v>
      </c>
    </row>
    <row r="56" spans="3:8" x14ac:dyDescent="0.3">
      <c r="C56" s="88"/>
      <c r="E56" t="s">
        <v>197</v>
      </c>
      <c r="G56" t="s">
        <v>585</v>
      </c>
      <c r="H56" s="120">
        <v>15.738862035529026</v>
      </c>
    </row>
    <row r="57" spans="3:8" x14ac:dyDescent="0.3">
      <c r="C57" s="88"/>
      <c r="E57" t="s">
        <v>198</v>
      </c>
      <c r="G57" t="s">
        <v>585</v>
      </c>
      <c r="H57" s="120">
        <v>6.9030656689166614</v>
      </c>
    </row>
    <row r="58" spans="3:8" x14ac:dyDescent="0.3">
      <c r="C58" s="88"/>
      <c r="E58" t="s">
        <v>199</v>
      </c>
      <c r="G58" t="s">
        <v>585</v>
      </c>
      <c r="H58" s="120">
        <v>16.65365061988464</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3.4150024141026689</v>
      </c>
    </row>
    <row r="64" spans="3:8" x14ac:dyDescent="0.3">
      <c r="C64" s="88"/>
      <c r="E64" t="s">
        <v>191</v>
      </c>
      <c r="G64" t="s">
        <v>585</v>
      </c>
      <c r="H64" s="120">
        <v>0</v>
      </c>
    </row>
    <row r="65" spans="3:42" x14ac:dyDescent="0.3">
      <c r="C65" s="88"/>
      <c r="E65" t="s">
        <v>192</v>
      </c>
      <c r="G65" t="s">
        <v>585</v>
      </c>
      <c r="H65" s="120">
        <v>8.8002455898784753</v>
      </c>
    </row>
    <row r="66" spans="3:42" x14ac:dyDescent="0.3">
      <c r="C66" s="88"/>
      <c r="E66" t="s">
        <v>193</v>
      </c>
      <c r="G66" t="s">
        <v>585</v>
      </c>
      <c r="H66" s="120">
        <v>1.2516595132689889</v>
      </c>
    </row>
    <row r="67" spans="3:42" x14ac:dyDescent="0.3">
      <c r="C67" s="88"/>
      <c r="E67" t="s">
        <v>194</v>
      </c>
      <c r="G67" t="s">
        <v>585</v>
      </c>
      <c r="H67" s="120">
        <v>3.3076487902591829</v>
      </c>
    </row>
    <row r="68" spans="3:42" x14ac:dyDescent="0.3">
      <c r="C68" s="88"/>
      <c r="E68" t="s">
        <v>195</v>
      </c>
      <c r="G68" t="s">
        <v>585</v>
      </c>
      <c r="H68" s="120">
        <v>3.2055710543586864</v>
      </c>
    </row>
    <row r="69" spans="3:42" x14ac:dyDescent="0.3">
      <c r="C69" s="88"/>
      <c r="E69" t="s">
        <v>196</v>
      </c>
      <c r="G69" t="s">
        <v>585</v>
      </c>
      <c r="H69" s="120">
        <v>0</v>
      </c>
    </row>
    <row r="70" spans="3:42" x14ac:dyDescent="0.3">
      <c r="C70" s="88"/>
      <c r="E70" t="s">
        <v>197</v>
      </c>
      <c r="G70" t="s">
        <v>585</v>
      </c>
      <c r="H70" s="120">
        <v>12.508631511107705</v>
      </c>
    </row>
    <row r="71" spans="3:42" x14ac:dyDescent="0.3">
      <c r="C71" s="88"/>
      <c r="E71" t="s">
        <v>198</v>
      </c>
      <c r="G71" t="s">
        <v>585</v>
      </c>
      <c r="H71" s="120">
        <v>5.4862864007915135</v>
      </c>
    </row>
    <row r="72" spans="3:42" x14ac:dyDescent="0.3">
      <c r="C72" s="88"/>
      <c r="E72" t="s">
        <v>199</v>
      </c>
      <c r="G72" t="s">
        <v>585</v>
      </c>
      <c r="H72" s="120">
        <v>13.235669672217526</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-1.0609999999999999</v>
      </c>
      <c r="S93" s="124">
        <v>-1.046</v>
      </c>
      <c r="T93" s="124">
        <v>-1.0609999999999999</v>
      </c>
      <c r="U93" s="124">
        <v>-1.0609999999999999</v>
      </c>
      <c r="V93" s="124">
        <v>-1.046</v>
      </c>
      <c r="W93" s="124">
        <v>-1.046</v>
      </c>
      <c r="X93" s="124">
        <v>-1.0329999999999999</v>
      </c>
      <c r="Y93" s="124">
        <v>-1.0329999999999999</v>
      </c>
    </row>
    <row r="94" spans="3:42" x14ac:dyDescent="0.3">
      <c r="D94"/>
      <c r="E94" t="s">
        <v>191</v>
      </c>
      <c r="G94" s="28" t="s">
        <v>283</v>
      </c>
      <c r="J94" s="79"/>
      <c r="K94" s="79"/>
      <c r="L94" s="79"/>
      <c r="M94" s="79"/>
      <c r="N94" s="79"/>
      <c r="O94" s="79"/>
      <c r="P94" s="79"/>
      <c r="Q94" s="79"/>
      <c r="R94" s="120">
        <v>-1.0609999999999999</v>
      </c>
      <c r="S94" s="120">
        <v>-1.046</v>
      </c>
      <c r="T94" s="120">
        <v>-1.0609999999999999</v>
      </c>
      <c r="U94" s="120">
        <v>-1.0609999999999999</v>
      </c>
      <c r="V94" s="120">
        <v>-1.046</v>
      </c>
      <c r="W94" s="120">
        <v>-1.046</v>
      </c>
      <c r="X94" s="120">
        <v>-1.0329999999999999</v>
      </c>
      <c r="Y94" s="120">
        <v>-1.0329999999999999</v>
      </c>
    </row>
    <row r="95" spans="3:42" x14ac:dyDescent="0.3">
      <c r="D95"/>
      <c r="E95" t="s">
        <v>192</v>
      </c>
      <c r="G95" s="28" t="s">
        <v>283</v>
      </c>
      <c r="J95" s="79"/>
      <c r="K95" s="79"/>
      <c r="L95" s="79"/>
      <c r="M95" s="79"/>
      <c r="N95" s="79"/>
      <c r="O95" s="79"/>
      <c r="P95" s="79"/>
      <c r="Q95" s="79"/>
      <c r="R95" s="120">
        <v>-1.0609999999999999</v>
      </c>
      <c r="S95" s="120">
        <v>-1.046</v>
      </c>
      <c r="T95" s="120">
        <v>-1.0609999999999999</v>
      </c>
      <c r="U95" s="120">
        <v>-1.0609999999999999</v>
      </c>
      <c r="V95" s="120">
        <v>-1.046</v>
      </c>
      <c r="W95" s="120">
        <v>-1.046</v>
      </c>
      <c r="X95" s="120">
        <v>-1.0329999999999999</v>
      </c>
      <c r="Y95" s="120">
        <v>-1.0329999999999999</v>
      </c>
    </row>
    <row r="96" spans="3:42" x14ac:dyDescent="0.3">
      <c r="D96"/>
      <c r="E96" t="s">
        <v>193</v>
      </c>
      <c r="G96" s="28" t="s">
        <v>283</v>
      </c>
      <c r="J96" s="79"/>
      <c r="K96" s="79"/>
      <c r="L96" s="79"/>
      <c r="M96" s="79"/>
      <c r="N96" s="79"/>
      <c r="O96" s="79"/>
      <c r="P96" s="79"/>
      <c r="Q96" s="79"/>
      <c r="R96" s="120">
        <v>-1.0609999999999999</v>
      </c>
      <c r="S96" s="120">
        <v>-1.046</v>
      </c>
      <c r="T96" s="120">
        <v>-1.0609999999999999</v>
      </c>
      <c r="U96" s="120">
        <v>-1.0609999999999999</v>
      </c>
      <c r="V96" s="120">
        <v>-1.046</v>
      </c>
      <c r="W96" s="120">
        <v>-1.046</v>
      </c>
      <c r="X96" s="120">
        <v>-1.0329999999999999</v>
      </c>
      <c r="Y96" s="120">
        <v>-1.0329999999999999</v>
      </c>
    </row>
    <row r="97" spans="3:25" x14ac:dyDescent="0.3">
      <c r="D97"/>
      <c r="E97" t="s">
        <v>194</v>
      </c>
      <c r="G97" s="28" t="s">
        <v>283</v>
      </c>
      <c r="J97" s="79"/>
      <c r="K97" s="79"/>
      <c r="L97" s="79"/>
      <c r="M97" s="79"/>
      <c r="N97" s="79"/>
      <c r="O97" s="79"/>
      <c r="P97" s="79"/>
      <c r="Q97" s="79"/>
      <c r="R97" s="120">
        <v>-1.0609999999999999</v>
      </c>
      <c r="S97" s="120">
        <v>-1.046</v>
      </c>
      <c r="T97" s="120">
        <v>-1.0609999999999999</v>
      </c>
      <c r="U97" s="120">
        <v>-1.0609999999999999</v>
      </c>
      <c r="V97" s="120">
        <v>-1.046</v>
      </c>
      <c r="W97" s="120">
        <v>-1.046</v>
      </c>
      <c r="X97" s="120">
        <v>-1.0329999999999999</v>
      </c>
      <c r="Y97" s="120">
        <v>-1.0329999999999999</v>
      </c>
    </row>
    <row r="98" spans="3:25" x14ac:dyDescent="0.3">
      <c r="D98"/>
      <c r="E98" t="s">
        <v>195</v>
      </c>
      <c r="G98" s="28" t="s">
        <v>283</v>
      </c>
      <c r="J98" s="79"/>
      <c r="K98" s="79"/>
      <c r="L98" s="79"/>
      <c r="M98" s="79"/>
      <c r="N98" s="79"/>
      <c r="O98" s="79"/>
      <c r="P98" s="79"/>
      <c r="Q98" s="79"/>
      <c r="R98" s="120">
        <v>-1.0609999999999999</v>
      </c>
      <c r="S98" s="120">
        <v>-1.046</v>
      </c>
      <c r="T98" s="120">
        <v>-1.0609999999999999</v>
      </c>
      <c r="U98" s="120">
        <v>-1.0609999999999999</v>
      </c>
      <c r="V98" s="120">
        <v>-1.046</v>
      </c>
      <c r="W98" s="120">
        <v>-1.046</v>
      </c>
      <c r="X98" s="120">
        <v>-1.0329999999999999</v>
      </c>
      <c r="Y98" s="120">
        <v>-1.0329999999999999</v>
      </c>
    </row>
    <row r="99" spans="3:25" x14ac:dyDescent="0.3">
      <c r="D99"/>
      <c r="E99" t="s">
        <v>196</v>
      </c>
      <c r="G99" s="28" t="s">
        <v>283</v>
      </c>
      <c r="J99" s="79"/>
      <c r="K99" s="79"/>
      <c r="L99" s="79"/>
      <c r="M99" s="79"/>
      <c r="N99" s="79"/>
      <c r="O99" s="79"/>
      <c r="P99" s="79"/>
      <c r="Q99" s="79"/>
      <c r="R99" s="120">
        <v>0</v>
      </c>
      <c r="S99" s="120">
        <v>0</v>
      </c>
      <c r="T99" s="120">
        <v>0</v>
      </c>
      <c r="U99" s="120">
        <v>0</v>
      </c>
      <c r="V99" s="120">
        <v>0</v>
      </c>
      <c r="W99" s="120">
        <v>0</v>
      </c>
      <c r="X99" s="120">
        <v>0</v>
      </c>
      <c r="Y99" s="120">
        <v>0</v>
      </c>
    </row>
    <row r="100" spans="3:25" x14ac:dyDescent="0.3">
      <c r="D100"/>
      <c r="E100" t="s">
        <v>197</v>
      </c>
      <c r="G100" s="28" t="s">
        <v>283</v>
      </c>
      <c r="J100" s="79"/>
      <c r="K100" s="79"/>
      <c r="L100" s="79"/>
      <c r="M100" s="79"/>
      <c r="N100" s="79"/>
      <c r="O100" s="79"/>
      <c r="P100" s="79"/>
      <c r="Q100" s="79"/>
      <c r="R100" s="120">
        <v>-1.0609999999999999</v>
      </c>
      <c r="S100" s="120">
        <v>-1.046</v>
      </c>
      <c r="T100" s="120">
        <v>-1.0609999999999999</v>
      </c>
      <c r="U100" s="120">
        <v>-1.0609999999999999</v>
      </c>
      <c r="V100" s="120">
        <v>-1.046</v>
      </c>
      <c r="W100" s="120">
        <v>-1.046</v>
      </c>
      <c r="X100" s="120">
        <v>-1.0329999999999999</v>
      </c>
      <c r="Y100" s="120">
        <v>-1.0329999999999999</v>
      </c>
    </row>
    <row r="101" spans="3:25" x14ac:dyDescent="0.3">
      <c r="D101"/>
      <c r="E101" t="s">
        <v>198</v>
      </c>
      <c r="G101" s="28" t="s">
        <v>283</v>
      </c>
      <c r="J101" s="79"/>
      <c r="K101" s="79"/>
      <c r="L101" s="79"/>
      <c r="M101" s="79"/>
      <c r="N101" s="79"/>
      <c r="O101" s="79"/>
      <c r="P101" s="79"/>
      <c r="Q101" s="79"/>
      <c r="R101" s="120">
        <v>-1.0609999999999999</v>
      </c>
      <c r="S101" s="120">
        <v>-1.046</v>
      </c>
      <c r="T101" s="120">
        <v>-1.0609999999999999</v>
      </c>
      <c r="U101" s="120">
        <v>-1.0609999999999999</v>
      </c>
      <c r="V101" s="120">
        <v>-1.046</v>
      </c>
      <c r="W101" s="120">
        <v>-1.046</v>
      </c>
      <c r="X101" s="120">
        <v>0</v>
      </c>
      <c r="Y101" s="120">
        <v>0</v>
      </c>
    </row>
    <row r="102" spans="3:25" x14ac:dyDescent="0.3">
      <c r="D102"/>
      <c r="E102" t="s">
        <v>199</v>
      </c>
      <c r="G102" s="28" t="s">
        <v>283</v>
      </c>
      <c r="J102" s="79"/>
      <c r="K102" s="79"/>
      <c r="L102" s="79"/>
      <c r="M102" s="79"/>
      <c r="N102" s="79"/>
      <c r="O102" s="79"/>
      <c r="P102" s="79"/>
      <c r="Q102" s="79"/>
      <c r="R102" s="120">
        <v>-1.0609999999999999</v>
      </c>
      <c r="S102" s="120">
        <v>0</v>
      </c>
      <c r="T102" s="120">
        <v>-1.0609999999999999</v>
      </c>
      <c r="U102" s="120">
        <v>-1.0609999999999999</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0.67</v>
      </c>
      <c r="Q110" s="25">
        <v>0</v>
      </c>
      <c r="R110" s="25">
        <v>0</v>
      </c>
      <c r="S110" s="25">
        <v>0</v>
      </c>
      <c r="T110" s="25">
        <v>0</v>
      </c>
      <c r="U110" s="25">
        <v>0</v>
      </c>
      <c r="V110" s="25">
        <v>0</v>
      </c>
      <c r="W110" s="25">
        <v>0</v>
      </c>
      <c r="X110" s="25">
        <v>0.67</v>
      </c>
      <c r="Y110" s="25">
        <v>0.67</v>
      </c>
    </row>
    <row r="111" spans="3:25" x14ac:dyDescent="0.3">
      <c r="C111" s="88"/>
      <c r="E111" t="s">
        <v>194</v>
      </c>
      <c r="G111" t="s">
        <v>167</v>
      </c>
      <c r="J111" s="25">
        <v>0</v>
      </c>
      <c r="K111" s="25">
        <v>0</v>
      </c>
      <c r="L111" s="25">
        <v>0</v>
      </c>
      <c r="M111" s="25">
        <v>0</v>
      </c>
      <c r="N111" s="25">
        <v>0</v>
      </c>
      <c r="O111" s="25">
        <v>0</v>
      </c>
      <c r="P111" s="25">
        <v>0.67</v>
      </c>
      <c r="Q111" s="25">
        <v>0</v>
      </c>
      <c r="R111" s="25">
        <v>0</v>
      </c>
      <c r="S111" s="25">
        <v>0</v>
      </c>
      <c r="T111" s="25">
        <v>0</v>
      </c>
      <c r="U111" s="25">
        <v>0</v>
      </c>
      <c r="V111" s="25">
        <v>0</v>
      </c>
      <c r="W111" s="25">
        <v>0</v>
      </c>
      <c r="X111" s="25">
        <v>0.67</v>
      </c>
      <c r="Y111" s="25">
        <v>0.67</v>
      </c>
    </row>
    <row r="112" spans="3:25" x14ac:dyDescent="0.3">
      <c r="C112" s="88"/>
      <c r="E112" t="s">
        <v>195</v>
      </c>
      <c r="G112" t="s">
        <v>167</v>
      </c>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3:27" x14ac:dyDescent="0.3">
      <c r="C113" s="88"/>
      <c r="E113" t="s">
        <v>196</v>
      </c>
      <c r="G113" t="s">
        <v>167</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row>
    <row r="114" spans="3:27" x14ac:dyDescent="0.3">
      <c r="C114" s="88"/>
      <c r="E114" t="s">
        <v>197</v>
      </c>
      <c r="G114" t="s">
        <v>167</v>
      </c>
      <c r="J114" s="25">
        <v>0.81</v>
      </c>
      <c r="K114" s="25">
        <v>0.81</v>
      </c>
      <c r="L114" s="25">
        <v>0.81</v>
      </c>
      <c r="M114" s="25">
        <v>0.81</v>
      </c>
      <c r="N114" s="25">
        <v>0.81</v>
      </c>
      <c r="O114" s="25">
        <v>0.81</v>
      </c>
      <c r="P114" s="25">
        <v>1</v>
      </c>
      <c r="Q114" s="25">
        <v>0.81</v>
      </c>
      <c r="R114" s="25">
        <v>0.81</v>
      </c>
      <c r="S114" s="25">
        <v>0.81</v>
      </c>
      <c r="T114" s="25">
        <v>0.81</v>
      </c>
      <c r="U114" s="25">
        <v>0.81</v>
      </c>
      <c r="V114" s="25">
        <v>0.81</v>
      </c>
      <c r="W114" s="25">
        <v>0.81</v>
      </c>
      <c r="X114" s="25">
        <v>1</v>
      </c>
      <c r="Y114" s="25">
        <v>1</v>
      </c>
    </row>
    <row r="115" spans="3:27" x14ac:dyDescent="0.3">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3">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0.28264951777637393</v>
      </c>
      <c r="K125" s="279">
        <f>'Initial unit rates'!K125</f>
        <v>0.28264951777637393</v>
      </c>
      <c r="L125" s="279">
        <f>'Initial unit rates'!L125</f>
        <v>0.21515775836180184</v>
      </c>
      <c r="M125" s="279">
        <f>'Initial unit rates'!M125</f>
        <v>0.21515775836180184</v>
      </c>
      <c r="N125" s="279">
        <f>'Initial unit rates'!N125</f>
        <v>0.17643878002857849</v>
      </c>
      <c r="O125" s="279">
        <f>'Initial unit rates'!O125</f>
        <v>0.15852361997925227</v>
      </c>
      <c r="P125" s="279">
        <f>'Initial unit rates'!P125</f>
        <v>0.13798413675364629</v>
      </c>
      <c r="Q125" s="279">
        <f>'Initial unit rates'!Q125</f>
        <v>0.26223897938831936</v>
      </c>
      <c r="R125" s="268"/>
      <c r="S125" s="268"/>
      <c r="T125" s="268"/>
      <c r="U125" s="268"/>
      <c r="V125" s="268"/>
      <c r="W125" s="268"/>
      <c r="X125" s="268"/>
      <c r="Y125" s="268"/>
      <c r="Z125" s="267"/>
      <c r="AA125" s="267"/>
    </row>
    <row r="126" spans="3:27" x14ac:dyDescent="0.3">
      <c r="E126" t="s">
        <v>193</v>
      </c>
      <c r="G126" t="s">
        <v>269</v>
      </c>
      <c r="H126" s="267"/>
      <c r="I126" s="267"/>
      <c r="J126" s="279">
        <f>'Initial unit rates'!J126</f>
        <v>4.0081136353228498E-2</v>
      </c>
      <c r="K126" s="279">
        <f>'Initial unit rates'!K126</f>
        <v>4.0081136353228498E-2</v>
      </c>
      <c r="L126" s="279">
        <f>'Initial unit rates'!L126</f>
        <v>3.0510462279215004E-2</v>
      </c>
      <c r="M126" s="279">
        <f>'Initial unit rates'!M126</f>
        <v>3.0510462279215004E-2</v>
      </c>
      <c r="N126" s="279">
        <f>'Initial unit rates'!N126</f>
        <v>2.5019914613538627E-2</v>
      </c>
      <c r="O126" s="279">
        <f>'Initial unit rates'!O126</f>
        <v>2.2479453980964442E-2</v>
      </c>
      <c r="P126" s="279">
        <f>'Initial unit rates'!P126</f>
        <v>6.4570608302956922E-3</v>
      </c>
      <c r="Q126" s="279">
        <f>'Initial unit rates'!Q126</f>
        <v>3.7186818405650524E-2</v>
      </c>
      <c r="R126" s="268"/>
      <c r="S126" s="268"/>
      <c r="T126" s="268"/>
      <c r="U126" s="268"/>
      <c r="V126" s="268"/>
      <c r="W126" s="268"/>
      <c r="X126" s="268"/>
      <c r="Y126" s="268"/>
      <c r="Z126" s="267"/>
      <c r="AA126" s="267"/>
    </row>
    <row r="127" spans="3:27" x14ac:dyDescent="0.3">
      <c r="E127" t="s">
        <v>194</v>
      </c>
      <c r="G127" t="s">
        <v>269</v>
      </c>
      <c r="H127" s="267"/>
      <c r="I127" s="267"/>
      <c r="J127" s="279">
        <f>'Initial unit rates'!J127</f>
        <v>0.10518547390418868</v>
      </c>
      <c r="K127" s="279">
        <f>'Initial unit rates'!K127</f>
        <v>0.10518547390418868</v>
      </c>
      <c r="L127" s="279">
        <f>'Initial unit rates'!L127</f>
        <v>8.0069023133287495E-2</v>
      </c>
      <c r="M127" s="279">
        <f>'Initial unit rates'!M127</f>
        <v>8.0069023133287495E-2</v>
      </c>
      <c r="N127" s="279">
        <f>'Initial unit rates'!N127</f>
        <v>6.5660103857195479E-2</v>
      </c>
      <c r="O127" s="279">
        <f>'Initial unit rates'!O127</f>
        <v>5.8993138299700092E-2</v>
      </c>
      <c r="P127" s="279">
        <f>'Initial unit rates'!P127</f>
        <v>1.6945352982940524E-2</v>
      </c>
      <c r="Q127" s="279">
        <f>'Initial unit rates'!Q127</f>
        <v>9.758987575890643E-2</v>
      </c>
      <c r="R127" s="268"/>
      <c r="S127" s="268"/>
      <c r="T127" s="268"/>
      <c r="U127" s="268"/>
      <c r="V127" s="268"/>
      <c r="W127" s="268"/>
      <c r="X127" s="268"/>
      <c r="Y127" s="268"/>
      <c r="Z127" s="267"/>
      <c r="AA127" s="267"/>
    </row>
    <row r="128" spans="3:27" x14ac:dyDescent="0.3">
      <c r="E128" t="s">
        <v>195</v>
      </c>
      <c r="G128" t="s">
        <v>269</v>
      </c>
      <c r="H128" s="267"/>
      <c r="I128" s="267"/>
      <c r="J128" s="279">
        <f>'Initial unit rates'!J128</f>
        <v>1.9273155923639377E-2</v>
      </c>
      <c r="K128" s="279">
        <f>'Initial unit rates'!K128</f>
        <v>1.9273155923639377E-2</v>
      </c>
      <c r="L128" s="279">
        <f>'Initial unit rates'!L128</f>
        <v>1.4671063505470275E-2</v>
      </c>
      <c r="M128" s="279">
        <f>'Initial unit rates'!M128</f>
        <v>1.4671063505470275E-2</v>
      </c>
      <c r="N128" s="279">
        <f>'Initial unit rates'!N128</f>
        <v>1.2030914275813232E-2</v>
      </c>
      <c r="O128" s="279">
        <f>'Initial unit rates'!O128</f>
        <v>1.0809324811433541E-2</v>
      </c>
      <c r="P128" s="279">
        <f>'Initial unit rates'!P128</f>
        <v>0</v>
      </c>
      <c r="Q128" s="279">
        <f>'Initial unit rates'!Q128</f>
        <v>1.7881412920031526E-2</v>
      </c>
      <c r="R128" s="268"/>
      <c r="S128" s="268"/>
      <c r="T128" s="268"/>
      <c r="U128" s="268"/>
      <c r="V128" s="268"/>
      <c r="W128" s="268"/>
      <c r="X128" s="268"/>
      <c r="Y128" s="268"/>
      <c r="Z128" s="267"/>
      <c r="AA128" s="267"/>
    </row>
    <row r="129" spans="4:27" x14ac:dyDescent="0.3">
      <c r="E129" t="s">
        <v>196</v>
      </c>
      <c r="G129" t="s">
        <v>269</v>
      </c>
      <c r="H129" s="267"/>
      <c r="I129" s="267"/>
      <c r="J129" s="279">
        <f>'Initial unit rates'!J129</f>
        <v>0</v>
      </c>
      <c r="K129" s="279">
        <f>'Initial unit rates'!K129</f>
        <v>0</v>
      </c>
      <c r="L129" s="279">
        <f>'Initial unit rates'!L129</f>
        <v>0</v>
      </c>
      <c r="M129" s="279">
        <f>'Initial unit rates'!M129</f>
        <v>0</v>
      </c>
      <c r="N129" s="279">
        <f>'Initial unit rates'!N129</f>
        <v>0</v>
      </c>
      <c r="O129" s="279">
        <f>'Initial unit rates'!O129</f>
        <v>0</v>
      </c>
      <c r="P129" s="279">
        <f>'Initial unit rates'!P129</f>
        <v>0</v>
      </c>
      <c r="Q129" s="279">
        <f>'Initial unit rates'!Q129</f>
        <v>0</v>
      </c>
      <c r="R129" s="268"/>
      <c r="S129" s="268"/>
      <c r="T129" s="268"/>
      <c r="U129" s="268"/>
      <c r="V129" s="268"/>
      <c r="W129" s="268"/>
      <c r="X129" s="268"/>
      <c r="Y129" s="268"/>
      <c r="Z129" s="267"/>
      <c r="AA129" s="267"/>
    </row>
    <row r="130" spans="4:27" x14ac:dyDescent="0.3">
      <c r="E130" t="s">
        <v>197</v>
      </c>
      <c r="G130" t="s">
        <v>269</v>
      </c>
      <c r="H130" s="267"/>
      <c r="I130" s="267"/>
      <c r="J130" s="279">
        <f>'Initial unit rates'!J130</f>
        <v>7.3969147328694265E-2</v>
      </c>
      <c r="K130" s="279">
        <f>'Initial unit rates'!K130</f>
        <v>7.3969147328694265E-2</v>
      </c>
      <c r="L130" s="279">
        <f>'Initial unit rates'!L130</f>
        <v>5.6306609161694547E-2</v>
      </c>
      <c r="M130" s="279">
        <f>'Initial unit rates'!M130</f>
        <v>5.6306609161694547E-2</v>
      </c>
      <c r="N130" s="279">
        <f>'Initial unit rates'!N130</f>
        <v>4.6173884240463078E-2</v>
      </c>
      <c r="O130" s="279">
        <f>'Initial unit rates'!O130</f>
        <v>4.1485501527020095E-2</v>
      </c>
      <c r="P130" s="279">
        <f>'Initial unit rates'!P130</f>
        <v>0</v>
      </c>
      <c r="Q130" s="279">
        <f>'Initial unit rates'!Q130</f>
        <v>6.8627726147574619E-2</v>
      </c>
      <c r="R130" s="268"/>
      <c r="S130" s="268"/>
      <c r="T130" s="268"/>
      <c r="U130" s="268"/>
      <c r="V130" s="268"/>
      <c r="W130" s="268"/>
      <c r="X130" s="268"/>
      <c r="Y130" s="268"/>
      <c r="Z130" s="267"/>
      <c r="AA130" s="267"/>
    </row>
    <row r="131" spans="4:27" x14ac:dyDescent="0.3">
      <c r="E131" t="s">
        <v>198</v>
      </c>
      <c r="G131" t="s">
        <v>269</v>
      </c>
      <c r="H131" s="267"/>
      <c r="I131" s="267"/>
      <c r="J131" s="279">
        <f>'Initial unit rates'!J131</f>
        <v>8.4314899996021844E-3</v>
      </c>
      <c r="K131" s="279">
        <f>'Initial unit rates'!K131</f>
        <v>8.4314899996021844E-3</v>
      </c>
      <c r="L131" s="279">
        <f>'Initial unit rates'!L131</f>
        <v>6.4181977108470839E-3</v>
      </c>
      <c r="M131" s="279">
        <f>'Initial unit rates'!M131</f>
        <v>6.4181977108470839E-3</v>
      </c>
      <c r="N131" s="279">
        <f>'Initial unit rates'!N131</f>
        <v>5.2632030687912177E-3</v>
      </c>
      <c r="O131" s="279">
        <f>'Initial unit rates'!O131</f>
        <v>4.7287903657889253E-3</v>
      </c>
      <c r="P131" s="279">
        <f>'Initial unit rates'!P131</f>
        <v>0</v>
      </c>
      <c r="Q131" s="279">
        <f>'Initial unit rates'!Q131</f>
        <v>7.8226396762079188E-3</v>
      </c>
      <c r="R131" s="268"/>
      <c r="S131" s="268"/>
      <c r="T131" s="268"/>
      <c r="U131" s="268"/>
      <c r="V131" s="268"/>
      <c r="W131" s="268"/>
      <c r="X131" s="268"/>
      <c r="Y131" s="268"/>
      <c r="Z131" s="267"/>
      <c r="AA131" s="267"/>
    </row>
    <row r="132" spans="4:27" x14ac:dyDescent="0.3">
      <c r="E132" t="s">
        <v>199</v>
      </c>
      <c r="G132" t="s">
        <v>269</v>
      </c>
      <c r="H132" s="267"/>
      <c r="I132" s="267"/>
      <c r="J132" s="279">
        <f>'Initial unit rates'!J132</f>
        <v>2.0053402660986583E-2</v>
      </c>
      <c r="K132" s="279">
        <f>'Initial unit rates'!K132</f>
        <v>2.0053402660986583E-2</v>
      </c>
      <c r="L132" s="279">
        <f>'Initial unit rates'!L132</f>
        <v>1.5265000973672695E-2</v>
      </c>
      <c r="M132" s="279">
        <f>'Initial unit rates'!M132</f>
        <v>1.5265000973672695E-2</v>
      </c>
      <c r="N132" s="279">
        <f>'Initial unit rates'!N132</f>
        <v>1.2517968998360954E-2</v>
      </c>
      <c r="O132" s="279">
        <f>'Initial unit rates'!O132</f>
        <v>0</v>
      </c>
      <c r="P132" s="279">
        <f>'Initial unit rates'!P132</f>
        <v>0</v>
      </c>
      <c r="Q132" s="279">
        <f>'Initial unit rates'!Q132</f>
        <v>1.8605316890159224E-2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8.725996201683027E-2</v>
      </c>
      <c r="K137" s="278">
        <f>'Initial unit rates'!K135</f>
        <v>8.725996201683027E-2</v>
      </c>
      <c r="L137" s="278">
        <f>'Initial unit rates'!L135</f>
        <v>6.6423809847541537E-2</v>
      </c>
      <c r="M137" s="278">
        <f>'Initial unit rates'!M135</f>
        <v>6.6423809847541537E-2</v>
      </c>
      <c r="N137" s="278">
        <f>'Initial unit rates'!N135</f>
        <v>5.4470431666437995E-2</v>
      </c>
      <c r="O137" s="278">
        <f>'Initial unit rates'!O135</f>
        <v>4.8939637919722785E-2</v>
      </c>
      <c r="P137" s="278">
        <f>'Initial unit rates'!P135</f>
        <v>4.2598659381313568E-2</v>
      </c>
      <c r="Q137" s="278">
        <f>'Initial unit rates'!Q135</f>
        <v>8.0958791512468029E-2</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0.2246387735451108</v>
      </c>
      <c r="K139" s="279">
        <f>'Initial unit rates'!K137</f>
        <v>0.2246387735451108</v>
      </c>
      <c r="L139" s="279">
        <f>'Initial unit rates'!L137</f>
        <v>0.17099896485707186</v>
      </c>
      <c r="M139" s="279">
        <f>'Initial unit rates'!M137</f>
        <v>0.17099896485707186</v>
      </c>
      <c r="N139" s="279">
        <f>'Initial unit rates'!N137</f>
        <v>0.14022663637718921</v>
      </c>
      <c r="O139" s="279">
        <f>'Initial unit rates'!O137</f>
        <v>0.12598836838718666</v>
      </c>
      <c r="P139" s="279">
        <f>'Initial unit rates'!P137</f>
        <v>0.10966439105529899</v>
      </c>
      <c r="Q139" s="279">
        <f>'Initial unit rates'!Q137</f>
        <v>0.2084172765230797</v>
      </c>
      <c r="R139" s="268"/>
      <c r="S139" s="268"/>
      <c r="T139" s="268"/>
      <c r="U139" s="268"/>
      <c r="V139" s="268"/>
      <c r="W139" s="268"/>
      <c r="X139" s="268"/>
      <c r="Y139" s="268"/>
      <c r="Z139" s="267"/>
      <c r="AA139" s="267"/>
    </row>
    <row r="140" spans="4:27" x14ac:dyDescent="0.3">
      <c r="E140" t="s">
        <v>193</v>
      </c>
      <c r="G140" t="s">
        <v>269</v>
      </c>
      <c r="H140" s="267"/>
      <c r="I140" s="267"/>
      <c r="J140" s="279">
        <f>'Initial unit rates'!J138</f>
        <v>3.1854918357961601E-2</v>
      </c>
      <c r="K140" s="279">
        <f>'Initial unit rates'!K138</f>
        <v>3.1854918357961601E-2</v>
      </c>
      <c r="L140" s="279">
        <f>'Initial unit rates'!L138</f>
        <v>2.4248521209648159E-2</v>
      </c>
      <c r="M140" s="279">
        <f>'Initial unit rates'!M138</f>
        <v>2.4248521209648159E-2</v>
      </c>
      <c r="N140" s="279">
        <f>'Initial unit rates'!N138</f>
        <v>1.9884848830470973E-2</v>
      </c>
      <c r="O140" s="279">
        <f>'Initial unit rates'!O138</f>
        <v>1.7865790155859627E-2</v>
      </c>
      <c r="P140" s="279">
        <f>'Initial unit rates'!P138</f>
        <v>1.555096730948189E-2</v>
      </c>
      <c r="Q140" s="279">
        <f>'Initial unit rates'!Q138</f>
        <v>2.9554627739712878E-2</v>
      </c>
      <c r="R140" s="268"/>
      <c r="S140" s="268"/>
      <c r="T140" s="268"/>
      <c r="U140" s="268"/>
      <c r="V140" s="268"/>
      <c r="W140" s="268"/>
      <c r="X140" s="268"/>
      <c r="Y140" s="268"/>
      <c r="Z140" s="267"/>
      <c r="AA140" s="267"/>
    </row>
    <row r="141" spans="4:27" x14ac:dyDescent="0.3">
      <c r="E141" t="s">
        <v>194</v>
      </c>
      <c r="G141" t="s">
        <v>269</v>
      </c>
      <c r="H141" s="267"/>
      <c r="I141" s="267"/>
      <c r="J141" s="279">
        <f>'Initial unit rates'!J139</f>
        <v>8.3597297594870654E-2</v>
      </c>
      <c r="K141" s="279">
        <f>'Initial unit rates'!K139</f>
        <v>8.3597297594870654E-2</v>
      </c>
      <c r="L141" s="279">
        <f>'Initial unit rates'!L139</f>
        <v>6.3635725605049237E-2</v>
      </c>
      <c r="M141" s="279">
        <f>'Initial unit rates'!M139</f>
        <v>6.3635725605049237E-2</v>
      </c>
      <c r="N141" s="279">
        <f>'Initial unit rates'!N139</f>
        <v>5.2184080543858272E-2</v>
      </c>
      <c r="O141" s="279">
        <f>'Initial unit rates'!O139</f>
        <v>4.688543727043095E-2</v>
      </c>
      <c r="P141" s="279">
        <f>'Initial unit rates'!P139</f>
        <v>4.0810616038949754E-2</v>
      </c>
      <c r="Q141" s="279">
        <f>'Initial unit rates'!Q139</f>
        <v>7.7560613488274421E-2</v>
      </c>
      <c r="R141" s="268"/>
      <c r="S141" s="268"/>
      <c r="T141" s="268"/>
      <c r="U141" s="268"/>
      <c r="V141" s="268"/>
      <c r="W141" s="268"/>
      <c r="X141" s="268"/>
      <c r="Y141" s="268"/>
      <c r="Z141" s="267"/>
      <c r="AA141" s="267"/>
    </row>
    <row r="142" spans="4:27" x14ac:dyDescent="0.3">
      <c r="E142" t="s">
        <v>195</v>
      </c>
      <c r="G142" t="s">
        <v>269</v>
      </c>
      <c r="H142" s="267"/>
      <c r="I142" s="267"/>
      <c r="J142" s="279">
        <f>'Initial unit rates'!J140</f>
        <v>8.0618683987347645E-2</v>
      </c>
      <c r="K142" s="279">
        <f>'Initial unit rates'!K140</f>
        <v>8.0618683987347645E-2</v>
      </c>
      <c r="L142" s="279">
        <f>'Initial unit rates'!L140</f>
        <v>6.1368352811129762E-2</v>
      </c>
      <c r="M142" s="279">
        <f>'Initial unit rates'!M140</f>
        <v>6.1368352811129762E-2</v>
      </c>
      <c r="N142" s="279">
        <f>'Initial unit rates'!N140</f>
        <v>5.0324735602383153E-2</v>
      </c>
      <c r="O142" s="279">
        <f>'Initial unit rates'!O140</f>
        <v>4.5214885644167126E-2</v>
      </c>
      <c r="P142" s="279">
        <f>'Initial unit rates'!P140</f>
        <v>3.9356513337518988E-2</v>
      </c>
      <c r="Q142" s="279">
        <f>'Initial unit rates'!Q140</f>
        <v>7.4797089960712659E-2</v>
      </c>
      <c r="R142" s="268"/>
      <c r="S142" s="268"/>
      <c r="T142" s="268"/>
      <c r="U142" s="268"/>
      <c r="V142" s="268"/>
      <c r="W142" s="268"/>
      <c r="X142" s="268"/>
      <c r="Y142" s="268"/>
      <c r="Z142" s="267"/>
      <c r="AA142" s="267"/>
    </row>
    <row r="143" spans="4:27" x14ac:dyDescent="0.3">
      <c r="E143" t="s">
        <v>196</v>
      </c>
      <c r="G143" t="s">
        <v>269</v>
      </c>
      <c r="H143" s="267"/>
      <c r="I143" s="267"/>
      <c r="J143" s="279">
        <f>'Initial unit rates'!J141</f>
        <v>0</v>
      </c>
      <c r="K143" s="279">
        <f>'Initial unit rates'!K141</f>
        <v>0</v>
      </c>
      <c r="L143" s="279">
        <f>'Initial unit rates'!L141</f>
        <v>0</v>
      </c>
      <c r="M143" s="279">
        <f>'Initial unit rates'!M141</f>
        <v>0</v>
      </c>
      <c r="N143" s="279">
        <f>'Initial unit rates'!N141</f>
        <v>0</v>
      </c>
      <c r="O143" s="279">
        <f>'Initial unit rates'!O141</f>
        <v>0</v>
      </c>
      <c r="P143" s="279">
        <f>'Initial unit rates'!P141</f>
        <v>0</v>
      </c>
      <c r="Q143" s="279">
        <f>'Initial unit rates'!Q141</f>
        <v>0</v>
      </c>
      <c r="R143" s="268"/>
      <c r="S143" s="268"/>
      <c r="T143" s="268"/>
      <c r="U143" s="268"/>
      <c r="V143" s="268"/>
      <c r="W143" s="268"/>
      <c r="X143" s="268"/>
      <c r="Y143" s="268"/>
      <c r="Z143" s="267"/>
      <c r="AA143" s="267"/>
    </row>
    <row r="144" spans="4:27" x14ac:dyDescent="0.3">
      <c r="E144" t="s">
        <v>197</v>
      </c>
      <c r="G144" t="s">
        <v>269</v>
      </c>
      <c r="H144" s="267"/>
      <c r="I144" s="267"/>
      <c r="J144" s="279">
        <f>'Initial unit rates'!J142</f>
        <v>0.30940938458300526</v>
      </c>
      <c r="K144" s="279">
        <f>'Initial unit rates'!K142</f>
        <v>0.30940938458300526</v>
      </c>
      <c r="L144" s="279">
        <f>'Initial unit rates'!L142</f>
        <v>0.23552783718405004</v>
      </c>
      <c r="M144" s="279">
        <f>'Initial unit rates'!M142</f>
        <v>0.23552783718405004</v>
      </c>
      <c r="N144" s="279">
        <f>'Initial unit rates'!N142</f>
        <v>0.19314313632903685</v>
      </c>
      <c r="O144" s="279">
        <f>'Initial unit rates'!O142</f>
        <v>0.17353185699915785</v>
      </c>
      <c r="P144" s="279">
        <f>'Initial unit rates'!P142</f>
        <v>0.15104779647613326</v>
      </c>
      <c r="Q144" s="279">
        <f>'Initial unit rates'!Q142</f>
        <v>0.28706647676084435</v>
      </c>
      <c r="R144" s="268"/>
      <c r="S144" s="268"/>
      <c r="T144" s="268"/>
      <c r="U144" s="268"/>
      <c r="V144" s="268"/>
      <c r="W144" s="268"/>
      <c r="X144" s="268"/>
      <c r="Y144" s="268"/>
      <c r="Z144" s="267"/>
      <c r="AA144" s="267"/>
    </row>
    <row r="145" spans="2:27" x14ac:dyDescent="0.3">
      <c r="E145" t="s">
        <v>198</v>
      </c>
      <c r="G145" t="s">
        <v>269</v>
      </c>
      <c r="H145" s="267"/>
      <c r="I145" s="267"/>
      <c r="J145" s="279">
        <f>'Initial unit rates'!J143</f>
        <v>0.13402036469540504</v>
      </c>
      <c r="K145" s="279">
        <f>'Initial unit rates'!K143</f>
        <v>0.13402036469540504</v>
      </c>
      <c r="L145" s="279">
        <f>'Initial unit rates'!L143</f>
        <v>0.1020186465186491</v>
      </c>
      <c r="M145" s="279">
        <f>'Initial unit rates'!M143</f>
        <v>0.1020186465186491</v>
      </c>
      <c r="N145" s="279">
        <f>'Initial unit rates'!N143</f>
        <v>8.3659755841334713E-2</v>
      </c>
      <c r="O145" s="279">
        <f>'Initial unit rates'!O143</f>
        <v>7.5165149863316169E-2</v>
      </c>
      <c r="P145" s="279">
        <f>'Initial unit rates'!P143</f>
        <v>0</v>
      </c>
      <c r="Q145" s="279">
        <f>'Initial unit rates'!Q143</f>
        <v>0.12434255657488724</v>
      </c>
      <c r="R145" s="268"/>
      <c r="S145" s="268"/>
      <c r="T145" s="268"/>
      <c r="U145" s="268"/>
      <c r="V145" s="268"/>
      <c r="W145" s="268"/>
      <c r="X145" s="268"/>
      <c r="Y145" s="268"/>
      <c r="Z145" s="267"/>
      <c r="AA145" s="267"/>
    </row>
    <row r="146" spans="2:27" x14ac:dyDescent="0.3">
      <c r="E146" t="s">
        <v>199</v>
      </c>
      <c r="G146" t="s">
        <v>269</v>
      </c>
      <c r="H146" s="267"/>
      <c r="I146" s="267"/>
      <c r="J146" s="279">
        <f>'Initial unit rates'!J144</f>
        <v>0.3187531904961084</v>
      </c>
      <c r="K146" s="279">
        <f>'Initial unit rates'!K144</f>
        <v>0.3187531904961084</v>
      </c>
      <c r="L146" s="279">
        <f>'Initial unit rates'!L144</f>
        <v>0.24264050573076096</v>
      </c>
      <c r="M146" s="279">
        <f>'Initial unit rates'!M144</f>
        <v>0.24264050573076096</v>
      </c>
      <c r="N146" s="279">
        <f>'Initial unit rates'!N144</f>
        <v>0.19897583588253856</v>
      </c>
      <c r="O146" s="279">
        <f>'Initial unit rates'!O144</f>
        <v>0</v>
      </c>
      <c r="P146" s="279">
        <f>'Initial unit rates'!P144</f>
        <v>0</v>
      </c>
      <c r="Q146" s="279">
        <f>'Initial unit rates'!Q144</f>
        <v>0.29573555267341445</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-0.13397862673305405</v>
      </c>
      <c r="S160" s="282">
        <f t="shared" si="0"/>
        <v>-0.1320844896915877</v>
      </c>
      <c r="T160" s="282">
        <f t="shared" ref="T160:U160" si="1">hundred * $H51 * T95 / $H37 * (1 - T109) / hours_in_year</f>
        <v>-0.13397862673305405</v>
      </c>
      <c r="U160" s="282">
        <f t="shared" si="1"/>
        <v>-0.13397862673305405</v>
      </c>
      <c r="V160" s="282">
        <f t="shared" ref="V160:W160" si="2">hundred * $H51 * V95 / $H37 * (1 - V109) / hours_in_year</f>
        <v>-0.1320844896915877</v>
      </c>
      <c r="W160" s="282">
        <f t="shared" si="2"/>
        <v>-0.1320844896915877</v>
      </c>
      <c r="X160" s="282">
        <f t="shared" ref="X160:Y160" si="3">hundred * $H51 * X95 / $H37 * (1 - X109) / hours_in_year</f>
        <v>-0.13044290425565017</v>
      </c>
      <c r="Y160" s="282">
        <f t="shared" si="3"/>
        <v>-0.13044290425565017</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-1.899884934795637E-2</v>
      </c>
      <c r="S161" s="282">
        <f t="shared" si="4"/>
        <v>-1.8730251100812785E-2</v>
      </c>
      <c r="T161" s="282">
        <f t="shared" ref="T161:U161" si="5">hundred * $H52 * T96 / $H38 * (1 - T110) / hours_in_year</f>
        <v>-1.899884934795637E-2</v>
      </c>
      <c r="U161" s="282">
        <f t="shared" si="5"/>
        <v>-1.899884934795637E-2</v>
      </c>
      <c r="V161" s="282">
        <f t="shared" ref="V161:W161" si="6">hundred * $H52 * V96 / $H38 * (1 - V110) / hours_in_year</f>
        <v>-1.8730251100812785E-2</v>
      </c>
      <c r="W161" s="282">
        <f t="shared" si="6"/>
        <v>-1.8730251100812785E-2</v>
      </c>
      <c r="X161" s="282">
        <f t="shared" ref="X161:Y161" si="7">hundred * $H52 * X96 / $H38 * (1 - X110) / hours_in_year</f>
        <v>-6.1041637645851514E-3</v>
      </c>
      <c r="Y161" s="282">
        <f t="shared" si="7"/>
        <v>-6.1041637645851514E-3</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-4.9858939993304548E-2</v>
      </c>
      <c r="S162" s="282">
        <f t="shared" si="8"/>
        <v>-4.9154053942503828E-2</v>
      </c>
      <c r="T162" s="282">
        <f t="shared" ref="T162:U162" si="9">hundred * $H53 * T97 / $H39 * (1 - T111) / hours_in_year</f>
        <v>-4.9858939993304548E-2</v>
      </c>
      <c r="U162" s="282">
        <f t="shared" si="9"/>
        <v>-4.9858939993304548E-2</v>
      </c>
      <c r="V162" s="282">
        <f t="shared" ref="V162:W162" si="10">hundred * $H53 * V97 / $H39 * (1 - V111) / hours_in_year</f>
        <v>-4.9154053942503828E-2</v>
      </c>
      <c r="W162" s="282">
        <f t="shared" si="10"/>
        <v>-4.9154053942503828E-2</v>
      </c>
      <c r="X162" s="282">
        <f t="shared" ref="X162:Y162" si="11">hundred * $H53 * X97 / $H39 * (1 - X111) / hours_in_year</f>
        <v>-1.601924039049725E-2</v>
      </c>
      <c r="Y162" s="282">
        <f t="shared" si="11"/>
        <v>-1.601924039049725E-2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-9.1356637852260652E-3</v>
      </c>
      <c r="S163" s="282">
        <f t="shared" si="12"/>
        <v>-9.0065073697893159E-3</v>
      </c>
      <c r="T163" s="282">
        <f t="shared" ref="T163:U163" si="13">hundred * $H54 * T98 / $H40 * (1 - T112) / hours_in_year</f>
        <v>-9.1356637852260652E-3</v>
      </c>
      <c r="U163" s="282">
        <f t="shared" si="13"/>
        <v>-9.1356637852260652E-3</v>
      </c>
      <c r="V163" s="282">
        <f t="shared" ref="V163:W163" si="14">hundred * $H54 * V98 / $H40 * (1 - V112) / hours_in_year</f>
        <v>-9.0065073697893159E-3</v>
      </c>
      <c r="W163" s="282">
        <f t="shared" si="14"/>
        <v>-9.0065073697893159E-3</v>
      </c>
      <c r="X163" s="282">
        <f t="shared" ref="X163:Y163" si="15">hundred * $H54 * X98 / $H40 * (1 - X112) / hours_in_year</f>
        <v>0</v>
      </c>
      <c r="Y163" s="282">
        <f t="shared" si="15"/>
        <v>0</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0</v>
      </c>
      <c r="S164" s="282">
        <f t="shared" si="16"/>
        <v>0</v>
      </c>
      <c r="T164" s="282">
        <f t="shared" ref="T164:U164" si="17">hundred * $H55 * T99 / $H41 * (1 - T113) / hours_in_year</f>
        <v>0</v>
      </c>
      <c r="U164" s="282">
        <f t="shared" si="17"/>
        <v>0</v>
      </c>
      <c r="V164" s="282">
        <f t="shared" ref="V164:W164" si="18">hundred * $H55 * V99 / $H41 * (1 - V113) / hours_in_year</f>
        <v>0</v>
      </c>
      <c r="W164" s="282">
        <f t="shared" si="18"/>
        <v>0</v>
      </c>
      <c r="X164" s="282">
        <f t="shared" ref="X164:Y164" si="19">hundred * $H55 * X99 / $H41 * (1 - X113) / hours_in_year</f>
        <v>0</v>
      </c>
      <c r="Y164" s="282">
        <f t="shared" si="19"/>
        <v>0</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-3.5062096895400366E-2</v>
      </c>
      <c r="S165" s="282">
        <f t="shared" si="20"/>
        <v>-3.4566402782835799E-2</v>
      </c>
      <c r="T165" s="282">
        <f t="shared" ref="T165:U165" si="21">hundred * $H56 * T100 / $H42 * (1 - T114) / hours_in_year</f>
        <v>-3.5062096895400366E-2</v>
      </c>
      <c r="U165" s="282">
        <f t="shared" si="21"/>
        <v>-3.5062096895400366E-2</v>
      </c>
      <c r="V165" s="282">
        <f t="shared" ref="V165:W165" si="22">hundred * $H56 * V100 / $H42 * (1 - V114) / hours_in_year</f>
        <v>-3.4566402782835799E-2</v>
      </c>
      <c r="W165" s="282">
        <f t="shared" si="22"/>
        <v>-3.4566402782835799E-2</v>
      </c>
      <c r="X165" s="282">
        <f t="shared" ref="X165:Y165" si="23">hundred * $H56 * X100 / $H42 * (1 - X114) / hours_in_year</f>
        <v>0</v>
      </c>
      <c r="Y165" s="282">
        <f t="shared" si="23"/>
        <v>0</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-3.9966084511558414E-3</v>
      </c>
      <c r="S166" s="282">
        <f t="shared" si="24"/>
        <v>-3.9401059754090566E-3</v>
      </c>
      <c r="T166" s="282">
        <f t="shared" ref="T166:U166" si="25">hundred * $H57 * T101 / $H43 * (1 - T115) / hours_in_year</f>
        <v>-3.9966084511558414E-3</v>
      </c>
      <c r="U166" s="282">
        <f t="shared" si="25"/>
        <v>-3.9966084511558414E-3</v>
      </c>
      <c r="V166" s="282">
        <f t="shared" ref="V166:W166" si="26">hundred * $H57 * V101 / $H43 * (1 - V115) / hours_in_year</f>
        <v>-3.9401059754090566E-3</v>
      </c>
      <c r="W166" s="282">
        <f t="shared" si="26"/>
        <v>-3.9401059754090566E-3</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-9.5055083446830228E-3</v>
      </c>
      <c r="S167" s="282">
        <f t="shared" si="28"/>
        <v>0</v>
      </c>
      <c r="T167" s="282">
        <f t="shared" ref="T167:U167" si="29">hundred * $H58 * T102 / $H44 * (1 - T116) / hours_in_year</f>
        <v>-9.5055083446830228E-3</v>
      </c>
      <c r="U167" s="282">
        <f t="shared" si="29"/>
        <v>-9.5055083446830228E-3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-4.1362072618298308E-2</v>
      </c>
      <c r="S172" s="281">
        <f t="shared" si="32"/>
        <v>-4.0777311930951958E-2</v>
      </c>
      <c r="T172" s="281">
        <f t="shared" ref="T172:U172" si="33">hundred * $H63 * T93 / $H35 / hours_in_year</f>
        <v>-4.1362072618298308E-2</v>
      </c>
      <c r="U172" s="281">
        <f t="shared" si="33"/>
        <v>-4.1362072618298308E-2</v>
      </c>
      <c r="V172" s="281">
        <f t="shared" ref="V172:W172" si="34">hundred * $H63 * V93 / $H35 / hours_in_year</f>
        <v>-4.0777311930951958E-2</v>
      </c>
      <c r="W172" s="281">
        <f t="shared" si="34"/>
        <v>-4.0777311930951958E-2</v>
      </c>
      <c r="X172" s="281">
        <f t="shared" ref="X172:Y172" si="35">hundred * $H63 * X93 / $H35 / hours_in_year</f>
        <v>-4.0270519335251782E-2</v>
      </c>
      <c r="Y172" s="281">
        <f t="shared" si="35"/>
        <v>-4.0270519335251782E-2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-0.10648096847058264</v>
      </c>
      <c r="S174" s="282">
        <f t="shared" si="40"/>
        <v>-0.10497558248843493</v>
      </c>
      <c r="T174" s="282">
        <f t="shared" ref="T174:U174" si="41">hundred * $H65 * T95 / $H37 / hours_in_year</f>
        <v>-0.10648096847058264</v>
      </c>
      <c r="U174" s="282">
        <f t="shared" si="41"/>
        <v>-0.10648096847058264</v>
      </c>
      <c r="V174" s="282">
        <f t="shared" ref="V174:W174" si="42">hundred * $H65 * V95 / $H37 / hours_in_year</f>
        <v>-0.10497558248843493</v>
      </c>
      <c r="W174" s="282">
        <f t="shared" si="42"/>
        <v>-0.10497558248843493</v>
      </c>
      <c r="X174" s="282">
        <f t="shared" ref="X174:Y174" si="43">hundred * $H65 * X95 / $H37 / hours_in_year</f>
        <v>-0.10367091463724022</v>
      </c>
      <c r="Y174" s="282">
        <f t="shared" si="43"/>
        <v>-0.10367091463724022</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-1.5099541827875681E-2</v>
      </c>
      <c r="S175" s="282">
        <f t="shared" si="44"/>
        <v>-1.4886070454248786E-2</v>
      </c>
      <c r="T175" s="282">
        <f t="shared" ref="T175:U175" si="45">hundred * $H66 * T96 / $H38 / hours_in_year</f>
        <v>-1.5099541827875681E-2</v>
      </c>
      <c r="U175" s="282">
        <f t="shared" si="45"/>
        <v>-1.5099541827875681E-2</v>
      </c>
      <c r="V175" s="282">
        <f t="shared" ref="V175:W175" si="46">hundred * $H66 * V96 / $H38 / hours_in_year</f>
        <v>-1.4886070454248786E-2</v>
      </c>
      <c r="W175" s="282">
        <f t="shared" si="46"/>
        <v>-1.4886070454248786E-2</v>
      </c>
      <c r="X175" s="282">
        <f t="shared" ref="X175:Y175" si="47">hundred * $H66 * X96 / $H38 / hours_in_year</f>
        <v>-1.4701061930438809E-2</v>
      </c>
      <c r="Y175" s="282">
        <f t="shared" si="47"/>
        <v>-1.4701061930438809E-2</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-3.9625933978124118E-2</v>
      </c>
      <c r="S176" s="282">
        <f t="shared" si="48"/>
        <v>-3.9065718134889564E-2</v>
      </c>
      <c r="T176" s="282">
        <f t="shared" ref="T176:U176" si="49">hundred * $H67 * T97 / $H39 / hours_in_year</f>
        <v>-3.9625933978124118E-2</v>
      </c>
      <c r="U176" s="282">
        <f t="shared" si="49"/>
        <v>-3.9625933978124118E-2</v>
      </c>
      <c r="V176" s="282">
        <f t="shared" ref="V176:W176" si="50">hundred * $H67 * V97 / $H39 / hours_in_year</f>
        <v>-3.9065718134889564E-2</v>
      </c>
      <c r="W176" s="282">
        <f t="shared" si="50"/>
        <v>-3.9065718134889564E-2</v>
      </c>
      <c r="X176" s="282">
        <f t="shared" ref="X176:Y176" si="51">hundred * $H67 * X97 / $H39 / hours_in_year</f>
        <v>-3.8580197737419615E-2</v>
      </c>
      <c r="Y176" s="282">
        <f t="shared" si="51"/>
        <v>-3.8580197737419615E-2</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-3.8214042092215947E-2</v>
      </c>
      <c r="S177" s="282">
        <f t="shared" si="52"/>
        <v>-3.7673787020224198E-2</v>
      </c>
      <c r="T177" s="282">
        <f t="shared" ref="T177:U177" si="53">hundred * $H68 * T98 / $H40 / hours_in_year</f>
        <v>-3.8214042092215947E-2</v>
      </c>
      <c r="U177" s="282">
        <f t="shared" si="53"/>
        <v>-3.8214042092215947E-2</v>
      </c>
      <c r="V177" s="282">
        <f t="shared" ref="V177:W177" si="54">hundred * $H68 * V98 / $H40 / hours_in_year</f>
        <v>-3.7673787020224198E-2</v>
      </c>
      <c r="W177" s="282">
        <f t="shared" si="54"/>
        <v>-3.7673787020224198E-2</v>
      </c>
      <c r="X177" s="282">
        <f t="shared" ref="X177:Y177" si="55">hundred * $H68 * X98 / $H40 / hours_in_year</f>
        <v>-3.7205565957831359E-2</v>
      </c>
      <c r="Y177" s="282">
        <f t="shared" si="55"/>
        <v>-3.7205565957831359E-2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0</v>
      </c>
      <c r="S178" s="282">
        <f t="shared" si="56"/>
        <v>0</v>
      </c>
      <c r="T178" s="282">
        <f t="shared" ref="T178:U178" si="57">hundred * $H69 * T99 / $H41 / hours_in_year</f>
        <v>0</v>
      </c>
      <c r="U178" s="282">
        <f t="shared" si="57"/>
        <v>0</v>
      </c>
      <c r="V178" s="282">
        <f t="shared" ref="V178:W178" si="58">hundred * $H69 * V99 / $H41 / hours_in_year</f>
        <v>0</v>
      </c>
      <c r="W178" s="282">
        <f t="shared" si="58"/>
        <v>0</v>
      </c>
      <c r="X178" s="282">
        <f t="shared" ref="X178:Y178" si="59">hundred * $H69 * X99 / $H41 / hours_in_year</f>
        <v>0</v>
      </c>
      <c r="Y178" s="282">
        <f t="shared" si="59"/>
        <v>0</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-0.14666306445832367</v>
      </c>
      <c r="S179" s="282">
        <f t="shared" si="60"/>
        <v>-0.14458959983355943</v>
      </c>
      <c r="T179" s="282">
        <f t="shared" ref="T179:U179" si="61">hundred * $H70 * T100 / $H42 / hours_in_year</f>
        <v>-0.14666306445832367</v>
      </c>
      <c r="U179" s="282">
        <f t="shared" si="61"/>
        <v>-0.14666306445832367</v>
      </c>
      <c r="V179" s="282">
        <f t="shared" ref="V179:W179" si="62">hundred * $H70 * V100 / $H42 / hours_in_year</f>
        <v>-0.14458959983355943</v>
      </c>
      <c r="W179" s="282">
        <f t="shared" si="62"/>
        <v>-0.14458959983355943</v>
      </c>
      <c r="X179" s="282">
        <f t="shared" ref="X179:Y179" si="63">hundred * $H70 * X100 / $H42 / hours_in_year</f>
        <v>-0.14279259715876377</v>
      </c>
      <c r="Y179" s="282">
        <f t="shared" si="63"/>
        <v>-0.14279259715876377</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-6.3526959314891648E-2</v>
      </c>
      <c r="S180" s="282">
        <f t="shared" si="64"/>
        <v>-6.2628840191683952E-2</v>
      </c>
      <c r="T180" s="282">
        <f t="shared" ref="T180:U180" si="65">hundred * $H71 * T101 / $H43 / hours_in_year</f>
        <v>-6.3526959314891648E-2</v>
      </c>
      <c r="U180" s="282">
        <f t="shared" si="65"/>
        <v>-6.3526959314891648E-2</v>
      </c>
      <c r="V180" s="282">
        <f t="shared" ref="V180:W180" si="66">hundred * $H71 * V101 / $H43 / hours_in_year</f>
        <v>-6.2628840191683952E-2</v>
      </c>
      <c r="W180" s="282">
        <f t="shared" si="66"/>
        <v>-6.2628840191683952E-2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-0.15109211954586216</v>
      </c>
      <c r="S181" s="282">
        <f t="shared" si="68"/>
        <v>0</v>
      </c>
      <c r="T181" s="282">
        <f t="shared" ref="T181:U181" si="69">hundred * $H72 * T102 / $H44 / hours_in_year</f>
        <v>-0.15109211954586216</v>
      </c>
      <c r="U181" s="282">
        <f t="shared" si="69"/>
        <v>-0.15109211954586216</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4.1995394935406584E-2</v>
      </c>
      <c r="K195" s="282">
        <f t="shared" si="72"/>
        <v>4.1995394935406584E-2</v>
      </c>
      <c r="L195" s="282">
        <f t="shared" ref="L195:M195" si="73">ABS(L125 + L160)*(1-L82)*PowerFactor*$H23</f>
        <v>3.1967629405154137E-2</v>
      </c>
      <c r="M195" s="282">
        <f t="shared" si="73"/>
        <v>3.1967629405154137E-2</v>
      </c>
      <c r="N195" s="282">
        <f t="shared" ref="N195:P195" si="74">ABS(N125 + N160)*(1-N82)*PowerFactor*$H23</f>
        <v>2.6214855441868492E-2</v>
      </c>
      <c r="O195" s="282">
        <f t="shared" si="74"/>
        <v>2.3553063454670699E-2</v>
      </c>
      <c r="P195" s="282">
        <f t="shared" si="74"/>
        <v>2.0501355754567976E-2</v>
      </c>
      <c r="Q195" s="282">
        <f t="shared" ref="Q195:S195" si="75">ABS(Q125 + Q160)*(1-Q82)*PowerFactor*$H23</f>
        <v>3.8962845553423262E-2</v>
      </c>
      <c r="R195" s="282">
        <f t="shared" si="75"/>
        <v>1.9906226576369323E-2</v>
      </c>
      <c r="S195" s="282">
        <f t="shared" si="75"/>
        <v>1.9624800187447985E-2</v>
      </c>
      <c r="T195" s="282">
        <f t="shared" ref="T195:U195" si="76">ABS(T125 + T160)*(1-T82)*PowerFactor*$H23</f>
        <v>1.9906226576369323E-2</v>
      </c>
      <c r="U195" s="282">
        <f t="shared" si="76"/>
        <v>1.9906226576369323E-2</v>
      </c>
      <c r="V195" s="282">
        <f t="shared" ref="V195:W195" si="77">ABS(V125 + V160)*(1-V82)*PowerFactor*$H23</f>
        <v>1.9624800187447985E-2</v>
      </c>
      <c r="W195" s="282">
        <f t="shared" si="77"/>
        <v>1.9624800187447985E-2</v>
      </c>
      <c r="X195" s="282">
        <f t="shared" ref="X195:Y195" si="78">ABS(X125 + X160)*(1-X82)*PowerFactor*$H23</f>
        <v>1.9380897317049488E-2</v>
      </c>
      <c r="Y195" s="282">
        <f t="shared" si="78"/>
        <v>1.9380897317049488E-2</v>
      </c>
      <c r="Z195" s="267"/>
      <c r="AA195" s="267"/>
    </row>
    <row r="196" spans="4:27" x14ac:dyDescent="0.3">
      <c r="F196" t="s">
        <v>193</v>
      </c>
      <c r="G196" t="s">
        <v>272</v>
      </c>
      <c r="H196" s="267"/>
      <c r="I196" s="267"/>
      <c r="J196" s="282">
        <f t="shared" ref="J196:K196" si="79">ABS(J126 + J161)*(1-J83)*PowerFactor*$H24</f>
        <v>5.9551601709982105E-3</v>
      </c>
      <c r="K196" s="282">
        <f t="shared" si="79"/>
        <v>5.9551601709982105E-3</v>
      </c>
      <c r="L196" s="282">
        <f t="shared" ref="L196:M196" si="80">ABS(L126 + L161)*(1-L83)*PowerFactor*$H24</f>
        <v>4.5331721177433422E-3</v>
      </c>
      <c r="M196" s="282">
        <f t="shared" si="80"/>
        <v>4.5331721177433422E-3</v>
      </c>
      <c r="N196" s="282">
        <f t="shared" ref="N196:P196" si="81">ABS(N126 + N161)*(1-N83)*PowerFactor*$H24</f>
        <v>3.7173995685958069E-3</v>
      </c>
      <c r="O196" s="282">
        <f t="shared" si="81"/>
        <v>3.3399439535212586E-3</v>
      </c>
      <c r="P196" s="282">
        <f t="shared" si="81"/>
        <v>9.5937478267609552E-4</v>
      </c>
      <c r="Q196" s="282">
        <f t="shared" ref="Q196:S196" si="82">ABS(Q126 + Q161)*(1-Q83)*PowerFactor*$H24</f>
        <v>5.5251292753738341E-3</v>
      </c>
      <c r="R196" s="282">
        <f t="shared" si="82"/>
        <v>2.8228039727878546E-3</v>
      </c>
      <c r="S196" s="282">
        <f t="shared" si="82"/>
        <v>2.7828962823148885E-3</v>
      </c>
      <c r="T196" s="282">
        <f t="shared" ref="T196:U196" si="83">ABS(T126 + T161)*(1-T83)*PowerFactor*$H24</f>
        <v>2.8228039727878546E-3</v>
      </c>
      <c r="U196" s="282">
        <f t="shared" si="83"/>
        <v>2.8228039727878546E-3</v>
      </c>
      <c r="V196" s="282">
        <f t="shared" ref="V196:W196" si="84">ABS(V126 + V161)*(1-V83)*PowerFactor*$H24</f>
        <v>2.7828962823148885E-3</v>
      </c>
      <c r="W196" s="282">
        <f t="shared" si="84"/>
        <v>2.7828962823148885E-3</v>
      </c>
      <c r="X196" s="282">
        <f t="shared" ref="X196:Y196" si="85">ABS(X126 + X161)*(1-X83)*PowerFactor*$H24</f>
        <v>9.0694217368864419E-4</v>
      </c>
      <c r="Y196" s="282">
        <f t="shared" si="85"/>
        <v>9.0694217368864419E-4</v>
      </c>
      <c r="Z196" s="267"/>
      <c r="AA196" s="267"/>
    </row>
    <row r="197" spans="4:27" x14ac:dyDescent="0.3">
      <c r="F197" t="s">
        <v>194</v>
      </c>
      <c r="G197" t="s">
        <v>272</v>
      </c>
      <c r="H197" s="267"/>
      <c r="I197" s="267"/>
      <c r="J197" s="282">
        <f t="shared" ref="J197:K197" si="86">ABS(J127 + J162)*(1-J84)*PowerFactor*$H25</f>
        <v>1.5628208223476193E-2</v>
      </c>
      <c r="K197" s="282">
        <f t="shared" si="86"/>
        <v>1.5628208223476193E-2</v>
      </c>
      <c r="L197" s="282">
        <f t="shared" ref="L197:M197" si="87">ABS(L127 + L162)*(1-L84)*PowerFactor*$H25</f>
        <v>1.1896465541593368E-2</v>
      </c>
      <c r="M197" s="282">
        <f t="shared" si="87"/>
        <v>1.1896465541593368E-2</v>
      </c>
      <c r="N197" s="282">
        <f t="shared" ref="N197:P197" si="88">ABS(N127 + N162)*(1-N84)*PowerFactor*$H25</f>
        <v>9.7556224920374683E-3</v>
      </c>
      <c r="O197" s="282">
        <f t="shared" si="88"/>
        <v>8.7650605628666299E-3</v>
      </c>
      <c r="P197" s="282">
        <f t="shared" si="88"/>
        <v>2.0141602828460674E-3</v>
      </c>
      <c r="Q197" s="282">
        <f t="shared" ref="Q197:S197" si="89">ABS(Q127 + Q162)*(1-Q84)*PowerFactor*$H25</f>
        <v>1.4499672267033697E-2</v>
      </c>
      <c r="R197" s="282">
        <f t="shared" si="89"/>
        <v>7.4079230438884652E-3</v>
      </c>
      <c r="S197" s="282">
        <f t="shared" si="89"/>
        <v>7.3031927463782604E-3</v>
      </c>
      <c r="T197" s="282">
        <f t="shared" ref="T197:U197" si="90">ABS(T127 + T162)*(1-T84)*PowerFactor*$H25</f>
        <v>7.4079230438884652E-3</v>
      </c>
      <c r="U197" s="282">
        <f t="shared" si="90"/>
        <v>7.4079230438884652E-3</v>
      </c>
      <c r="V197" s="282">
        <f t="shared" ref="V197:W197" si="91">ABS(V127 + V162)*(1-V84)*PowerFactor*$H25</f>
        <v>7.3031927463782604E-3</v>
      </c>
      <c r="W197" s="282">
        <f t="shared" si="91"/>
        <v>7.3031927463782604E-3</v>
      </c>
      <c r="X197" s="282">
        <f t="shared" ref="X197:Y197" si="92">ABS(X127 + X162)*(1-X84)*PowerFactor*$H25</f>
        <v>2.3801007412169069E-3</v>
      </c>
      <c r="Y197" s="282">
        <f t="shared" si="92"/>
        <v>2.3801007412169069E-3</v>
      </c>
      <c r="Z197" s="267"/>
      <c r="AA197" s="267"/>
    </row>
    <row r="198" spans="4:27" x14ac:dyDescent="0.3">
      <c r="F198" t="s">
        <v>195</v>
      </c>
      <c r="G198" t="s">
        <v>272</v>
      </c>
      <c r="H198" s="267"/>
      <c r="I198" s="267"/>
      <c r="J198" s="282">
        <f t="shared" ref="J198:K198" si="93">ABS(J128 + J163)*(1-J85)*PowerFactor*$H26</f>
        <v>2.8635597931756357E-3</v>
      </c>
      <c r="K198" s="282">
        <f t="shared" si="93"/>
        <v>2.8635597931756357E-3</v>
      </c>
      <c r="L198" s="282">
        <f t="shared" ref="L198:M198" si="94">ABS(L128 + L163)*(1-L85)*PowerFactor*$H26</f>
        <v>2.1797918173775662E-3</v>
      </c>
      <c r="M198" s="282">
        <f t="shared" si="94"/>
        <v>2.1797918173775662E-3</v>
      </c>
      <c r="N198" s="282">
        <f t="shared" ref="N198:P198" si="95">ABS(N128 + N163)*(1-N85)*PowerFactor*$H26</f>
        <v>1.787524706999624E-3</v>
      </c>
      <c r="O198" s="282">
        <f t="shared" si="95"/>
        <v>1.6060238418676154E-3</v>
      </c>
      <c r="P198" s="282">
        <f t="shared" si="95"/>
        <v>0</v>
      </c>
      <c r="Q198" s="282">
        <f t="shared" ref="Q198:S198" si="96">ABS(Q128 + Q163)*(1-Q85)*PowerFactor*$H26</f>
        <v>2.6567779187719356E-3</v>
      </c>
      <c r="R198" s="282">
        <f t="shared" si="96"/>
        <v>1.3573552563468376E-3</v>
      </c>
      <c r="S198" s="282">
        <f t="shared" si="96"/>
        <v>1.3381655024870803E-3</v>
      </c>
      <c r="T198" s="282">
        <f t="shared" ref="T198:U198" si="97">ABS(T128 + T163)*(1-T85)*PowerFactor*$H26</f>
        <v>1.3573552563468376E-3</v>
      </c>
      <c r="U198" s="282">
        <f t="shared" si="97"/>
        <v>1.3573552563468376E-3</v>
      </c>
      <c r="V198" s="282">
        <f t="shared" ref="V198:W198" si="98">ABS(V128 + V163)*(1-V85)*PowerFactor*$H26</f>
        <v>1.3381655024870803E-3</v>
      </c>
      <c r="W198" s="282">
        <f t="shared" si="98"/>
        <v>1.3381655024870803E-3</v>
      </c>
      <c r="X198" s="282">
        <f t="shared" ref="X198:Y198" si="99">ABS(X128 + X163)*(1-X85)*PowerFactor*$H26</f>
        <v>0</v>
      </c>
      <c r="Y198" s="282">
        <f t="shared" si="99"/>
        <v>0</v>
      </c>
      <c r="Z198" s="267"/>
      <c r="AA198" s="267"/>
    </row>
    <row r="199" spans="4:27" x14ac:dyDescent="0.3">
      <c r="F199" t="s">
        <v>196</v>
      </c>
      <c r="G199" t="s">
        <v>272</v>
      </c>
      <c r="H199" s="267"/>
      <c r="I199" s="267"/>
      <c r="J199" s="282">
        <f t="shared" ref="J199:K199" si="100">ABS(J129 + J164)*(1-J86)*PowerFactor*$H27</f>
        <v>0</v>
      </c>
      <c r="K199" s="282">
        <f t="shared" si="100"/>
        <v>0</v>
      </c>
      <c r="L199" s="282">
        <f t="shared" ref="L199:M199" si="101">ABS(L129 + L164)*(1-L86)*PowerFactor*$H27</f>
        <v>0</v>
      </c>
      <c r="M199" s="282">
        <f t="shared" si="101"/>
        <v>0</v>
      </c>
      <c r="N199" s="282">
        <f t="shared" ref="N199:P199" si="102">ABS(N129 + N164)*(1-N86)*PowerFactor*$H27</f>
        <v>0</v>
      </c>
      <c r="O199" s="282">
        <f t="shared" si="102"/>
        <v>0</v>
      </c>
      <c r="P199" s="282">
        <f t="shared" si="102"/>
        <v>0</v>
      </c>
      <c r="Q199" s="282">
        <f t="shared" ref="Q199:S199" si="103">ABS(Q129 + Q164)*(1-Q86)*PowerFactor*$H27</f>
        <v>0</v>
      </c>
      <c r="R199" s="282">
        <f t="shared" si="103"/>
        <v>0</v>
      </c>
      <c r="S199" s="282">
        <f t="shared" si="103"/>
        <v>0</v>
      </c>
      <c r="T199" s="282">
        <f t="shared" ref="T199:U199" si="104">ABS(T129 + T164)*(1-T86)*PowerFactor*$H27</f>
        <v>0</v>
      </c>
      <c r="U199" s="282">
        <f t="shared" si="104"/>
        <v>0</v>
      </c>
      <c r="V199" s="282">
        <f t="shared" ref="V199:W199" si="105">ABS(V129 + V164)*(1-V86)*PowerFactor*$H27</f>
        <v>0</v>
      </c>
      <c r="W199" s="282">
        <f t="shared" si="105"/>
        <v>0</v>
      </c>
      <c r="X199" s="282">
        <f t="shared" ref="X199:Y199" si="106">ABS(X129 + X164)*(1-X86)*PowerFactor*$H27</f>
        <v>0</v>
      </c>
      <c r="Y199" s="282">
        <f t="shared" si="106"/>
        <v>0</v>
      </c>
      <c r="Z199" s="267"/>
      <c r="AA199" s="267"/>
    </row>
    <row r="200" spans="4:27" x14ac:dyDescent="0.3">
      <c r="F200" t="s">
        <v>197</v>
      </c>
      <c r="G200" t="s">
        <v>272</v>
      </c>
      <c r="H200" s="267"/>
      <c r="I200" s="267"/>
      <c r="J200" s="282">
        <f t="shared" ref="J200:K200" si="107">ABS(J130 + J165)*(1-J87)*PowerFactor*$H28</f>
        <v>1.099016046282972E-2</v>
      </c>
      <c r="K200" s="282">
        <f t="shared" si="107"/>
        <v>1.099016046282972E-2</v>
      </c>
      <c r="L200" s="282">
        <f t="shared" ref="L200:M200" si="108">ABS(L130 + L165)*(1-L87)*PowerFactor*$H28</f>
        <v>8.3659024357146759E-3</v>
      </c>
      <c r="M200" s="282">
        <f t="shared" si="108"/>
        <v>8.3659024357146759E-3</v>
      </c>
      <c r="N200" s="282">
        <f t="shared" ref="N200:P200" si="109">ABS(N130 + N165)*(1-N87)*PowerFactor*$H28</f>
        <v>5.4883249605659221E-3</v>
      </c>
      <c r="O200" s="282">
        <f t="shared" si="109"/>
        <v>0</v>
      </c>
      <c r="P200" s="282">
        <f t="shared" si="109"/>
        <v>0</v>
      </c>
      <c r="Q200" s="282">
        <f t="shared" ref="Q200:S200" si="110">ABS(Q130 + Q165)*(1-Q87)*PowerFactor*$H28</f>
        <v>1.0196544773044824E-2</v>
      </c>
      <c r="R200" s="282">
        <f t="shared" si="110"/>
        <v>5.2094431930034234E-3</v>
      </c>
      <c r="S200" s="282">
        <f t="shared" si="110"/>
        <v>5.135794137494422E-3</v>
      </c>
      <c r="T200" s="282">
        <f t="shared" ref="T200:U200" si="111">ABS(T130 + T165)*(1-T87)*PowerFactor*$H28</f>
        <v>5.2094431930034234E-3</v>
      </c>
      <c r="U200" s="282">
        <f t="shared" si="111"/>
        <v>5.2094431930034234E-3</v>
      </c>
      <c r="V200" s="282">
        <f t="shared" ref="V200:W200" si="112">ABS(V130 + V165)*(1-V87)*PowerFactor*$H28</f>
        <v>5.135794137494422E-3</v>
      </c>
      <c r="W200" s="282">
        <f t="shared" si="112"/>
        <v>5.135794137494422E-3</v>
      </c>
      <c r="X200" s="282">
        <f t="shared" ref="X200:Y200" si="113">ABS(X130 + X165)*(1-X87)*PowerFactor*$H28</f>
        <v>0</v>
      </c>
      <c r="Y200" s="282">
        <f t="shared" si="113"/>
        <v>0</v>
      </c>
      <c r="Z200" s="267"/>
      <c r="AA200" s="267"/>
    </row>
    <row r="201" spans="4:27" x14ac:dyDescent="0.3">
      <c r="F201" t="s">
        <v>198</v>
      </c>
      <c r="G201" t="s">
        <v>272</v>
      </c>
      <c r="H201" s="267"/>
      <c r="I201" s="267"/>
      <c r="J201" s="282">
        <f t="shared" ref="J201:K201" si="114">ABS(J131 + J166)*(1-J88)*PowerFactor*$H29</f>
        <v>1.252730785507188E-3</v>
      </c>
      <c r="K201" s="282">
        <f t="shared" si="114"/>
        <v>1.252730785507188E-3</v>
      </c>
      <c r="L201" s="282">
        <f t="shared" ref="L201:M201" si="115">ABS(L131 + L166)*(1-L88)*PowerFactor*$H29</f>
        <v>9.5360059256777412E-4</v>
      </c>
      <c r="M201" s="282">
        <f t="shared" si="115"/>
        <v>9.5360059256777412E-4</v>
      </c>
      <c r="N201" s="282">
        <f t="shared" ref="N201:P201" si="116">ABS(N131 + N166)*(1-N88)*PowerFactor*$H29</f>
        <v>0</v>
      </c>
      <c r="O201" s="282">
        <f t="shared" si="116"/>
        <v>0</v>
      </c>
      <c r="P201" s="282">
        <f t="shared" si="116"/>
        <v>0</v>
      </c>
      <c r="Q201" s="282">
        <f t="shared" ref="Q201:S201" si="117">ABS(Q131 + Q166)*(1-Q88)*PowerFactor*$H29</f>
        <v>1.162269248588092E-3</v>
      </c>
      <c r="R201" s="282">
        <f t="shared" si="117"/>
        <v>5.9380660412540953E-4</v>
      </c>
      <c r="S201" s="282">
        <f t="shared" si="117"/>
        <v>5.854116002970577E-4</v>
      </c>
      <c r="T201" s="282">
        <f t="shared" ref="T201:U201" si="118">ABS(T131 + T166)*(1-T88)*PowerFactor*$H29</f>
        <v>5.9380660412540953E-4</v>
      </c>
      <c r="U201" s="282">
        <f t="shared" si="118"/>
        <v>5.9380660412540953E-4</v>
      </c>
      <c r="V201" s="282">
        <f t="shared" ref="V201:W201" si="119">ABS(V131 + V166)*(1-V88)*PowerFactor*$H29</f>
        <v>5.854116002970577E-4</v>
      </c>
      <c r="W201" s="282">
        <f t="shared" si="119"/>
        <v>5.854116002970577E-4</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2.764333853627178E-3</v>
      </c>
      <c r="R202" s="282">
        <f t="shared" si="124"/>
        <v>1.4123058837574062E-3</v>
      </c>
      <c r="S202" s="282">
        <f t="shared" si="124"/>
        <v>0</v>
      </c>
      <c r="T202" s="282">
        <f t="shared" ref="T202:U202" si="125">ABS(T132 + T167)*(1-T89)*PowerFactor*$H30</f>
        <v>1.4123058837574062E-3</v>
      </c>
      <c r="U202" s="282">
        <f t="shared" si="125"/>
        <v>1.4123058837574062E-3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1.2964878184737077E-2</v>
      </c>
      <c r="K207" s="434">
        <f t="shared" si="128"/>
        <v>1.2964878184737077E-2</v>
      </c>
      <c r="L207" s="434">
        <f t="shared" ref="L207:M207" si="129">ABS(L137 + L172)*(1-L81)*PowerFactor*$H22</f>
        <v>9.8690921166504231E-3</v>
      </c>
      <c r="M207" s="434">
        <f t="shared" si="129"/>
        <v>9.8690921166504231E-3</v>
      </c>
      <c r="N207" s="434">
        <f t="shared" ref="N207:P207" si="130">ABS(N137 + N172)*(1-N81)*PowerFactor*$H22</f>
        <v>8.0930875386950631E-3</v>
      </c>
      <c r="O207" s="434">
        <f t="shared" si="130"/>
        <v>7.271335322286375E-3</v>
      </c>
      <c r="P207" s="434">
        <f t="shared" si="130"/>
        <v>6.3292077712034231E-3</v>
      </c>
      <c r="Q207" s="434">
        <f t="shared" ref="Q207:S207" si="131">ABS(Q137 + Q172)*(1-Q81)*PowerFactor*$H22</f>
        <v>1.2028665216932232E-2</v>
      </c>
      <c r="R207" s="434">
        <f t="shared" si="131"/>
        <v>6.1454786430122036E-3</v>
      </c>
      <c r="S207" s="434">
        <f t="shared" si="131"/>
        <v>6.0585962870789494E-3</v>
      </c>
      <c r="T207" s="434">
        <f t="shared" ref="T207:U207" si="132">ABS(T137 + T172)*(1-T81)*PowerFactor*$H22</f>
        <v>6.1454786430122036E-3</v>
      </c>
      <c r="U207" s="434">
        <f t="shared" si="132"/>
        <v>6.1454786430122036E-3</v>
      </c>
      <c r="V207" s="434">
        <f t="shared" ref="V207:W207" si="133">ABS(V137 + V172)*(1-V81)*PowerFactor*$H22</f>
        <v>6.0585962870789494E-3</v>
      </c>
      <c r="W207" s="434">
        <f t="shared" si="133"/>
        <v>6.0585962870789494E-3</v>
      </c>
      <c r="X207" s="434">
        <f t="shared" ref="X207:Y207" si="134">ABS(X137 + X172)*(1-X81)*PowerFactor*$H22</f>
        <v>5.9832982452701277E-3</v>
      </c>
      <c r="Y207" s="434">
        <f t="shared" si="134"/>
        <v>5.9832982452701277E-3</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3.337629615308986E-2</v>
      </c>
      <c r="K209" s="282">
        <f t="shared" si="142"/>
        <v>3.337629615308986E-2</v>
      </c>
      <c r="L209" s="282">
        <f t="shared" ref="L209:M209" si="143">ABS(L139 + L174)*(1-L82)*PowerFactor*$H23</f>
        <v>2.5406620606372401E-2</v>
      </c>
      <c r="M209" s="282">
        <f t="shared" si="143"/>
        <v>2.5406620606372401E-2</v>
      </c>
      <c r="N209" s="282">
        <f t="shared" ref="N209:P209" si="144">ABS(N139 + N174)*(1-N82)*PowerFactor*$H23</f>
        <v>2.0834541029653764E-2</v>
      </c>
      <c r="O209" s="282">
        <f t="shared" si="144"/>
        <v>1.8719052943417601E-2</v>
      </c>
      <c r="P209" s="282">
        <f t="shared" si="144"/>
        <v>1.6293675110253827E-2</v>
      </c>
      <c r="Q209" s="282">
        <f t="shared" ref="Q209:S209" si="145">ABS(Q139 + Q174)*(1-Q82)*PowerFactor*$H23</f>
        <v>3.0966144601291743E-2</v>
      </c>
      <c r="R209" s="282">
        <f t="shared" si="145"/>
        <v>1.582068973337012E-2</v>
      </c>
      <c r="S209" s="282">
        <f t="shared" si="145"/>
        <v>1.5597023054764516E-2</v>
      </c>
      <c r="T209" s="282">
        <f t="shared" ref="T209:U209" si="146">ABS(T139 + T174)*(1-T82)*PowerFactor*$H23</f>
        <v>1.582068973337012E-2</v>
      </c>
      <c r="U209" s="282">
        <f t="shared" si="146"/>
        <v>1.582068973337012E-2</v>
      </c>
      <c r="V209" s="282">
        <f t="shared" ref="V209:W209" si="147">ABS(V139 + V174)*(1-V82)*PowerFactor*$H23</f>
        <v>1.5597023054764516E-2</v>
      </c>
      <c r="W209" s="282">
        <f t="shared" si="147"/>
        <v>1.5597023054764516E-2</v>
      </c>
      <c r="X209" s="282">
        <f t="shared" ref="X209:Y209" si="148">ABS(X139 + X174)*(1-X82)*PowerFactor*$H23</f>
        <v>1.5403178599972984E-2</v>
      </c>
      <c r="Y209" s="282">
        <f t="shared" si="148"/>
        <v>1.5403178599972984E-2</v>
      </c>
      <c r="Z209" s="267"/>
      <c r="AA209" s="267"/>
    </row>
    <row r="210" spans="3:27" x14ac:dyDescent="0.3">
      <c r="F210" t="s">
        <v>193</v>
      </c>
      <c r="G210" t="s">
        <v>272</v>
      </c>
      <c r="H210" s="267"/>
      <c r="I210" s="267"/>
      <c r="J210" s="282">
        <f t="shared" ref="J210:K210" si="149">ABS(J140 + J175)*(1-J83)*PowerFactor*$H24</f>
        <v>4.732928213010917E-3</v>
      </c>
      <c r="K210" s="282">
        <f t="shared" si="149"/>
        <v>4.732928213010917E-3</v>
      </c>
      <c r="L210" s="282">
        <f t="shared" ref="L210:M210" si="150">ABS(L140 + L175)*(1-L83)*PowerFactor*$H24</f>
        <v>3.6027877663121813E-3</v>
      </c>
      <c r="M210" s="282">
        <f t="shared" si="150"/>
        <v>3.6027877663121813E-3</v>
      </c>
      <c r="N210" s="282">
        <f t="shared" ref="N210:P210" si="151">ABS(N140 + N175)*(1-N83)*PowerFactor*$H24</f>
        <v>2.9544436743995329E-3</v>
      </c>
      <c r="O210" s="282">
        <f t="shared" si="151"/>
        <v>2.6544567255268763E-3</v>
      </c>
      <c r="P210" s="282">
        <f t="shared" si="151"/>
        <v>2.3105258375355976E-3</v>
      </c>
      <c r="Q210" s="282">
        <f t="shared" ref="Q210:S210" si="152">ABS(Q140 + Q175)*(1-Q83)*PowerFactor*$H24</f>
        <v>4.391156489006085E-3</v>
      </c>
      <c r="R210" s="282">
        <f t="shared" si="152"/>
        <v>2.2434541102137138E-3</v>
      </c>
      <c r="S210" s="282">
        <f t="shared" si="152"/>
        <v>2.2117370398525397E-3</v>
      </c>
      <c r="T210" s="282">
        <f t="shared" ref="T210:U210" si="153">ABS(T140 + T175)*(1-T83)*PowerFactor*$H24</f>
        <v>2.2434541102137138E-3</v>
      </c>
      <c r="U210" s="282">
        <f t="shared" si="153"/>
        <v>2.2434541102137138E-3</v>
      </c>
      <c r="V210" s="282">
        <f t="shared" ref="V210:W210" si="154">ABS(V140 + V175)*(1-V83)*PowerFactor*$H24</f>
        <v>2.2117370398525397E-3</v>
      </c>
      <c r="W210" s="282">
        <f t="shared" si="154"/>
        <v>2.2117370398525397E-3</v>
      </c>
      <c r="X210" s="282">
        <f t="shared" ref="X210:Y210" si="155">ABS(X140 + X175)*(1-X83)*PowerFactor*$H24</f>
        <v>2.1842489122061888E-3</v>
      </c>
      <c r="Y210" s="282">
        <f t="shared" si="155"/>
        <v>2.1842489122061888E-3</v>
      </c>
      <c r="Z210" s="267"/>
      <c r="AA210" s="267"/>
    </row>
    <row r="211" spans="3:27" x14ac:dyDescent="0.3">
      <c r="F211" t="s">
        <v>194</v>
      </c>
      <c r="G211" t="s">
        <v>272</v>
      </c>
      <c r="H211" s="267"/>
      <c r="I211" s="267"/>
      <c r="J211" s="282">
        <f t="shared" ref="J211:K211" si="156">ABS(J141 + J176)*(1-J84)*PowerFactor*$H25</f>
        <v>1.242068819238849E-2</v>
      </c>
      <c r="K211" s="282">
        <f t="shared" si="156"/>
        <v>1.242068819238849E-2</v>
      </c>
      <c r="L211" s="282">
        <f t="shared" ref="L211:M211" si="157">ABS(L141 + L176)*(1-L84)*PowerFactor*$H25</f>
        <v>9.4548451729521716E-3</v>
      </c>
      <c r="M211" s="282">
        <f t="shared" si="157"/>
        <v>9.4548451729521716E-3</v>
      </c>
      <c r="N211" s="282">
        <f t="shared" ref="N211:P211" si="158">ABS(N141 + N176)*(1-N84)*PowerFactor*$H25</f>
        <v>7.7533869118936701E-3</v>
      </c>
      <c r="O211" s="282">
        <f t="shared" si="158"/>
        <v>6.9661270621688689E-3</v>
      </c>
      <c r="P211" s="282">
        <f t="shared" si="158"/>
        <v>4.8508356259610533E-3</v>
      </c>
      <c r="Q211" s="282">
        <f t="shared" ref="Q211:S211" si="159">ABS(Q141 + Q176)*(1-Q84)*PowerFactor*$H25</f>
        <v>1.1523771986228979E-2</v>
      </c>
      <c r="R211" s="282">
        <f t="shared" si="159"/>
        <v>5.8875272817987745E-3</v>
      </c>
      <c r="S211" s="282">
        <f t="shared" si="159"/>
        <v>5.8042917405857859E-3</v>
      </c>
      <c r="T211" s="282">
        <f t="shared" ref="T211:U211" si="160">ABS(T141 + T176)*(1-T84)*PowerFactor*$H25</f>
        <v>5.8875272817987745E-3</v>
      </c>
      <c r="U211" s="282">
        <f t="shared" si="160"/>
        <v>5.8875272817987745E-3</v>
      </c>
      <c r="V211" s="282">
        <f t="shared" ref="V211:W211" si="161">ABS(V141 + V176)*(1-V84)*PowerFactor*$H25</f>
        <v>5.8042917405857859E-3</v>
      </c>
      <c r="W211" s="282">
        <f t="shared" si="161"/>
        <v>5.8042917405857859E-3</v>
      </c>
      <c r="X211" s="282">
        <f t="shared" ref="X211:Y211" si="162">ABS(X141 + X176)*(1-X84)*PowerFactor*$H25</f>
        <v>5.7321542715345281E-3</v>
      </c>
      <c r="Y211" s="282">
        <f t="shared" si="162"/>
        <v>5.7321542715345281E-3</v>
      </c>
      <c r="Z211" s="267"/>
      <c r="AA211" s="267"/>
    </row>
    <row r="212" spans="3:27" x14ac:dyDescent="0.3">
      <c r="F212" t="s">
        <v>195</v>
      </c>
      <c r="G212" t="s">
        <v>272</v>
      </c>
      <c r="H212" s="267"/>
      <c r="I212" s="267"/>
      <c r="J212" s="282">
        <f t="shared" ref="J212:K212" si="163">ABS(J142 + J177)*(1-J85)*PowerFactor*$H26</f>
        <v>1.1978132847550182E-2</v>
      </c>
      <c r="K212" s="282">
        <f t="shared" si="163"/>
        <v>1.1978132847550182E-2</v>
      </c>
      <c r="L212" s="282">
        <f t="shared" ref="L212:M212" si="164">ABS(L142 + L177)*(1-L85)*PowerFactor*$H26</f>
        <v>9.1179643012084585E-3</v>
      </c>
      <c r="M212" s="282">
        <f t="shared" si="164"/>
        <v>9.1179643012084585E-3</v>
      </c>
      <c r="N212" s="282">
        <f t="shared" ref="N212:P212" si="165">ABS(N142 + N177)*(1-N85)*PowerFactor*$H26</f>
        <v>7.4771298506657209E-3</v>
      </c>
      <c r="O212" s="282">
        <f t="shared" si="165"/>
        <v>6.7179204639165402E-3</v>
      </c>
      <c r="P212" s="282">
        <f t="shared" si="165"/>
        <v>0</v>
      </c>
      <c r="Q212" s="282">
        <f t="shared" ref="Q212:S212" si="166">ABS(Q142 + Q177)*(1-Q85)*PowerFactor*$H26</f>
        <v>1.1113174215299594E-2</v>
      </c>
      <c r="R212" s="282">
        <f t="shared" si="166"/>
        <v>5.6777517342539848E-3</v>
      </c>
      <c r="S212" s="282">
        <f t="shared" si="166"/>
        <v>5.5974819170873397E-3</v>
      </c>
      <c r="T212" s="282">
        <f t="shared" ref="T212:U212" si="167">ABS(T142 + T177)*(1-T85)*PowerFactor*$H26</f>
        <v>5.6777517342539848E-3</v>
      </c>
      <c r="U212" s="282">
        <f t="shared" si="167"/>
        <v>5.6777517342539848E-3</v>
      </c>
      <c r="V212" s="282">
        <f t="shared" ref="V212:W212" si="168">ABS(V142 + V177)*(1-V85)*PowerFactor*$H26</f>
        <v>5.5974819170873397E-3</v>
      </c>
      <c r="W212" s="282">
        <f t="shared" si="168"/>
        <v>5.5974819170873397E-3</v>
      </c>
      <c r="X212" s="282">
        <f t="shared" ref="X212:Y212" si="169">ABS(X142 + X177)*(1-X85)*PowerFactor*$H26</f>
        <v>5.5279147422095812E-3</v>
      </c>
      <c r="Y212" s="282">
        <f t="shared" si="169"/>
        <v>5.5279147422095812E-3</v>
      </c>
      <c r="Z212" s="267"/>
      <c r="AA212" s="267"/>
    </row>
    <row r="213" spans="3:27" x14ac:dyDescent="0.3">
      <c r="F213" t="s">
        <v>196</v>
      </c>
      <c r="G213" t="s">
        <v>272</v>
      </c>
      <c r="H213" s="267"/>
      <c r="I213" s="267"/>
      <c r="J213" s="282">
        <f t="shared" ref="J213:K213" si="170">ABS(J143 + J178)*(1-J86)*PowerFactor*$H27</f>
        <v>0</v>
      </c>
      <c r="K213" s="282">
        <f t="shared" si="170"/>
        <v>0</v>
      </c>
      <c r="L213" s="282">
        <f t="shared" ref="L213:M213" si="171">ABS(L143 + L178)*(1-L86)*PowerFactor*$H27</f>
        <v>0</v>
      </c>
      <c r="M213" s="282">
        <f t="shared" si="171"/>
        <v>0</v>
      </c>
      <c r="N213" s="282">
        <f t="shared" ref="N213:P213" si="172">ABS(N143 + N178)*(1-N86)*PowerFactor*$H27</f>
        <v>0</v>
      </c>
      <c r="O213" s="282">
        <f t="shared" si="172"/>
        <v>0</v>
      </c>
      <c r="P213" s="282">
        <f t="shared" si="172"/>
        <v>0</v>
      </c>
      <c r="Q213" s="282">
        <f t="shared" ref="Q213:S213" si="173">ABS(Q143 + Q178)*(1-Q86)*PowerFactor*$H27</f>
        <v>0</v>
      </c>
      <c r="R213" s="282">
        <f t="shared" si="173"/>
        <v>0</v>
      </c>
      <c r="S213" s="282">
        <f t="shared" si="173"/>
        <v>0</v>
      </c>
      <c r="T213" s="282">
        <f t="shared" ref="T213:U213" si="174">ABS(T143 + T178)*(1-T86)*PowerFactor*$H27</f>
        <v>0</v>
      </c>
      <c r="U213" s="282">
        <f t="shared" si="174"/>
        <v>0</v>
      </c>
      <c r="V213" s="282">
        <f t="shared" ref="V213:W213" si="175">ABS(V143 + V178)*(1-V86)*PowerFactor*$H27</f>
        <v>0</v>
      </c>
      <c r="W213" s="282">
        <f t="shared" si="175"/>
        <v>0</v>
      </c>
      <c r="X213" s="282">
        <f t="shared" ref="X213:Y213" si="176">ABS(X143 + X178)*(1-X86)*PowerFactor*$H27</f>
        <v>0</v>
      </c>
      <c r="Y213" s="282">
        <f t="shared" si="176"/>
        <v>0</v>
      </c>
      <c r="Z213" s="267"/>
      <c r="AA213" s="267"/>
    </row>
    <row r="214" spans="3:27" x14ac:dyDescent="0.3">
      <c r="F214" t="s">
        <v>197</v>
      </c>
      <c r="G214" t="s">
        <v>272</v>
      </c>
      <c r="H214" s="267"/>
      <c r="I214" s="267"/>
      <c r="J214" s="282">
        <f t="shared" ref="J214:K214" si="177">ABS(J144 + J179)*(1-J87)*PowerFactor*$H28</f>
        <v>4.5971312473863095E-2</v>
      </c>
      <c r="K214" s="282">
        <f t="shared" si="177"/>
        <v>4.5971312473863095E-2</v>
      </c>
      <c r="L214" s="282">
        <f t="shared" ref="L214:M214" si="178">ABS(L144 + L179)*(1-L87)*PowerFactor*$H28</f>
        <v>3.4994167400815915E-2</v>
      </c>
      <c r="M214" s="282">
        <f t="shared" si="178"/>
        <v>3.4994167400815915E-2</v>
      </c>
      <c r="N214" s="282">
        <f t="shared" ref="N214:P214" si="179">ABS(N144 + N179)*(1-N87)*PowerFactor*$H28</f>
        <v>2.2957399263969936E-2</v>
      </c>
      <c r="O214" s="282">
        <f t="shared" si="179"/>
        <v>0</v>
      </c>
      <c r="P214" s="282">
        <f t="shared" si="179"/>
        <v>0</v>
      </c>
      <c r="Q214" s="282">
        <f t="shared" ref="Q214:S214" si="180">ABS(Q144 + Q179)*(1-Q87)*PowerFactor*$H28</f>
        <v>4.2651656224743317E-2</v>
      </c>
      <c r="R214" s="282">
        <f t="shared" si="180"/>
        <v>2.1790850247398255E-2</v>
      </c>
      <c r="S214" s="282">
        <f t="shared" si="180"/>
        <v>2.1482779791497243E-2</v>
      </c>
      <c r="T214" s="282">
        <f t="shared" ref="T214:U214" si="181">ABS(T144 + T179)*(1-T87)*PowerFactor*$H28</f>
        <v>2.1790850247398255E-2</v>
      </c>
      <c r="U214" s="282">
        <f t="shared" si="181"/>
        <v>2.1790850247398255E-2</v>
      </c>
      <c r="V214" s="282">
        <f t="shared" ref="V214:W214" si="182">ABS(V144 + V179)*(1-V87)*PowerFactor*$H28</f>
        <v>2.1482779791497243E-2</v>
      </c>
      <c r="W214" s="282">
        <f t="shared" si="182"/>
        <v>2.1482779791497243E-2</v>
      </c>
      <c r="X214" s="282">
        <f t="shared" ref="X214:Y214" si="183">ABS(X144 + X179)*(1-X87)*PowerFactor*$H28</f>
        <v>2.1215785396383035E-2</v>
      </c>
      <c r="Y214" s="282">
        <f t="shared" si="183"/>
        <v>2.1215785396383035E-2</v>
      </c>
      <c r="Z214" s="267"/>
      <c r="AA214" s="267"/>
    </row>
    <row r="215" spans="3:27" x14ac:dyDescent="0.3">
      <c r="F215" t="s">
        <v>198</v>
      </c>
      <c r="G215" t="s">
        <v>272</v>
      </c>
      <c r="H215" s="267"/>
      <c r="I215" s="267"/>
      <c r="J215" s="282">
        <f t="shared" ref="J215:K215" si="184">ABS(J145 + J180)*(1-J88)*PowerFactor*$H29</f>
        <v>1.9912427903817243E-2</v>
      </c>
      <c r="K215" s="282">
        <f t="shared" si="184"/>
        <v>1.9912427903817243E-2</v>
      </c>
      <c r="L215" s="282">
        <f t="shared" ref="L215:M215" si="185">ABS(L145 + L180)*(1-L88)*PowerFactor*$H29</f>
        <v>1.5157688521924052E-2</v>
      </c>
      <c r="M215" s="282">
        <f t="shared" si="185"/>
        <v>1.5157688521924052E-2</v>
      </c>
      <c r="N215" s="282">
        <f t="shared" ref="N215:P215" si="186">ABS(N145 + N180)*(1-N88)*PowerFactor*$H29</f>
        <v>0</v>
      </c>
      <c r="O215" s="282">
        <f t="shared" si="186"/>
        <v>0</v>
      </c>
      <c r="P215" s="282">
        <f t="shared" si="186"/>
        <v>0</v>
      </c>
      <c r="Q215" s="282">
        <f t="shared" ref="Q215:S215" si="187">ABS(Q145 + Q180)*(1-Q88)*PowerFactor*$H29</f>
        <v>1.8474522128043791E-2</v>
      </c>
      <c r="R215" s="282">
        <f t="shared" si="187"/>
        <v>9.4386849355430954E-3</v>
      </c>
      <c r="S215" s="282">
        <f t="shared" si="187"/>
        <v>9.3052445264637882E-3</v>
      </c>
      <c r="T215" s="282">
        <f t="shared" ref="T215:U215" si="188">ABS(T145 + T180)*(1-T88)*PowerFactor*$H29</f>
        <v>9.4386849355430954E-3</v>
      </c>
      <c r="U215" s="282">
        <f t="shared" si="188"/>
        <v>9.4386849355430954E-3</v>
      </c>
      <c r="V215" s="282">
        <f t="shared" ref="V215:W215" si="189">ABS(V145 + V180)*(1-V88)*PowerFactor*$H29</f>
        <v>9.3052445264637882E-3</v>
      </c>
      <c r="W215" s="282">
        <f t="shared" si="189"/>
        <v>9.3052445264637882E-3</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4.3939686961669736E-2</v>
      </c>
      <c r="R216" s="282">
        <f t="shared" si="194"/>
        <v>2.2448908747038115E-2</v>
      </c>
      <c r="S216" s="282">
        <f t="shared" si="194"/>
        <v>0</v>
      </c>
      <c r="T216" s="282">
        <f t="shared" ref="T216:U216" si="195">ABS(T146 + T181)*(1-T89)*PowerFactor*$H30</f>
        <v>2.2448908747038115E-2</v>
      </c>
      <c r="U216" s="282">
        <f t="shared" si="195"/>
        <v>2.2448908747038115E-2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2.6214855441868492E-2</v>
      </c>
      <c r="O225" s="282">
        <f t="shared" si="200"/>
        <v>2.3553063454670699E-2</v>
      </c>
      <c r="P225" s="282">
        <f t="shared" si="200"/>
        <v>2.0501355754567976E-2</v>
      </c>
      <c r="Q225" s="282">
        <f t="shared" ref="Q225:S225" si="201">Q$78 * Q195</f>
        <v>0</v>
      </c>
      <c r="R225" s="282">
        <f t="shared" si="201"/>
        <v>0</v>
      </c>
      <c r="S225" s="282">
        <f t="shared" si="201"/>
        <v>0</v>
      </c>
      <c r="T225" s="282">
        <f t="shared" ref="T225:U225" si="202">T$78 * T195</f>
        <v>1.9906226576369323E-2</v>
      </c>
      <c r="U225" s="282">
        <f t="shared" si="202"/>
        <v>0</v>
      </c>
      <c r="V225" s="282">
        <f t="shared" ref="V225:W225" si="203">V$78 * V195</f>
        <v>1.9624800187447985E-2</v>
      </c>
      <c r="W225" s="282">
        <f t="shared" si="203"/>
        <v>0</v>
      </c>
      <c r="X225" s="282">
        <f t="shared" ref="X225:Y225" si="204">X$78 * X195</f>
        <v>1.9380897317049488E-2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3.7173995685958069E-3</v>
      </c>
      <c r="O226" s="282">
        <f t="shared" si="207"/>
        <v>3.3399439535212586E-3</v>
      </c>
      <c r="P226" s="282">
        <f t="shared" si="207"/>
        <v>9.5937478267609552E-4</v>
      </c>
      <c r="Q226" s="282">
        <f t="shared" ref="Q226:S226" si="208">Q$78 * Q196</f>
        <v>0</v>
      </c>
      <c r="R226" s="282">
        <f t="shared" si="208"/>
        <v>0</v>
      </c>
      <c r="S226" s="282">
        <f t="shared" si="208"/>
        <v>0</v>
      </c>
      <c r="T226" s="282">
        <f t="shared" ref="T226:U226" si="209">T$78 * T196</f>
        <v>2.8228039727878546E-3</v>
      </c>
      <c r="U226" s="282">
        <f t="shared" si="209"/>
        <v>0</v>
      </c>
      <c r="V226" s="282">
        <f t="shared" ref="V226:W226" si="210">V$78 * V196</f>
        <v>2.7828962823148885E-3</v>
      </c>
      <c r="W226" s="282">
        <f t="shared" si="210"/>
        <v>0</v>
      </c>
      <c r="X226" s="282">
        <f t="shared" ref="X226:Y226" si="211">X$78 * X196</f>
        <v>9.0694217368864419E-4</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9.7556224920374683E-3</v>
      </c>
      <c r="O227" s="282">
        <f t="shared" si="214"/>
        <v>8.7650605628666299E-3</v>
      </c>
      <c r="P227" s="282">
        <f t="shared" si="214"/>
        <v>2.0141602828460674E-3</v>
      </c>
      <c r="Q227" s="282">
        <f t="shared" ref="Q227:S227" si="215">Q$78 * Q197</f>
        <v>0</v>
      </c>
      <c r="R227" s="282">
        <f t="shared" si="215"/>
        <v>0</v>
      </c>
      <c r="S227" s="282">
        <f t="shared" si="215"/>
        <v>0</v>
      </c>
      <c r="T227" s="282">
        <f t="shared" ref="T227:U227" si="216">T$78 * T197</f>
        <v>7.4079230438884652E-3</v>
      </c>
      <c r="U227" s="282">
        <f t="shared" si="216"/>
        <v>0</v>
      </c>
      <c r="V227" s="282">
        <f t="shared" ref="V227:W227" si="217">V$78 * V197</f>
        <v>7.3031927463782604E-3</v>
      </c>
      <c r="W227" s="282">
        <f t="shared" si="217"/>
        <v>0</v>
      </c>
      <c r="X227" s="282">
        <f t="shared" ref="X227:Y227" si="218">X$78 * X197</f>
        <v>2.3801007412169069E-3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1.787524706999624E-3</v>
      </c>
      <c r="O228" s="282">
        <f t="shared" si="221"/>
        <v>1.6060238418676154E-3</v>
      </c>
      <c r="P228" s="282">
        <f t="shared" si="221"/>
        <v>0</v>
      </c>
      <c r="Q228" s="282">
        <f t="shared" ref="Q228:S228" si="222">Q$78 * Q198</f>
        <v>0</v>
      </c>
      <c r="R228" s="282">
        <f t="shared" si="222"/>
        <v>0</v>
      </c>
      <c r="S228" s="282">
        <f t="shared" si="222"/>
        <v>0</v>
      </c>
      <c r="T228" s="282">
        <f t="shared" ref="T228:U228" si="223">T$78 * T198</f>
        <v>1.3573552563468376E-3</v>
      </c>
      <c r="U228" s="282">
        <f t="shared" si="223"/>
        <v>0</v>
      </c>
      <c r="V228" s="282">
        <f t="shared" ref="V228:W228" si="224">V$78 * V198</f>
        <v>1.3381655024870803E-3</v>
      </c>
      <c r="W228" s="282">
        <f t="shared" si="224"/>
        <v>0</v>
      </c>
      <c r="X228" s="282">
        <f t="shared" ref="X228:Y228" si="225">X$78 * X198</f>
        <v>0</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0</v>
      </c>
      <c r="O229" s="282">
        <f t="shared" si="228"/>
        <v>0</v>
      </c>
      <c r="P229" s="282">
        <f t="shared" si="228"/>
        <v>0</v>
      </c>
      <c r="Q229" s="282">
        <f t="shared" ref="Q229:S229" si="229">Q$78 * Q199</f>
        <v>0</v>
      </c>
      <c r="R229" s="282">
        <f t="shared" si="229"/>
        <v>0</v>
      </c>
      <c r="S229" s="282">
        <f t="shared" si="229"/>
        <v>0</v>
      </c>
      <c r="T229" s="282">
        <f t="shared" ref="T229:U229" si="230">T$78 * T199</f>
        <v>0</v>
      </c>
      <c r="U229" s="282">
        <f t="shared" si="230"/>
        <v>0</v>
      </c>
      <c r="V229" s="282">
        <f t="shared" ref="V229:W229" si="231">V$78 * V199</f>
        <v>0</v>
      </c>
      <c r="W229" s="282">
        <f t="shared" si="231"/>
        <v>0</v>
      </c>
      <c r="X229" s="282">
        <f t="shared" ref="X229:Y229" si="232">X$78 * X199</f>
        <v>0</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5.4883249605659221E-3</v>
      </c>
      <c r="O230" s="282">
        <f t="shared" si="235"/>
        <v>0</v>
      </c>
      <c r="P230" s="282">
        <f t="shared" si="235"/>
        <v>0</v>
      </c>
      <c r="Q230" s="282">
        <f t="shared" ref="Q230:S230" si="236">Q$78 * Q200</f>
        <v>0</v>
      </c>
      <c r="R230" s="282">
        <f t="shared" si="236"/>
        <v>0</v>
      </c>
      <c r="S230" s="282">
        <f t="shared" si="236"/>
        <v>0</v>
      </c>
      <c r="T230" s="282">
        <f t="shared" ref="T230:U230" si="237">T$78 * T200</f>
        <v>5.2094431930034234E-3</v>
      </c>
      <c r="U230" s="282">
        <f t="shared" si="237"/>
        <v>0</v>
      </c>
      <c r="V230" s="282">
        <f t="shared" ref="V230:W230" si="238">V$78 * V200</f>
        <v>5.135794137494422E-3</v>
      </c>
      <c r="W230" s="282">
        <f t="shared" si="238"/>
        <v>0</v>
      </c>
      <c r="X230" s="282">
        <f t="shared" ref="X230:Y230" si="239">X$78 * X200</f>
        <v>0</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5.9380660412540953E-4</v>
      </c>
      <c r="U231" s="282">
        <f t="shared" si="244"/>
        <v>0</v>
      </c>
      <c r="V231" s="282">
        <f t="shared" ref="V231:W231" si="245">V$78 * V201</f>
        <v>5.854116002970577E-4</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1.4123058837574062E-3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8.0930875386950631E-3</v>
      </c>
      <c r="O237" s="281">
        <f t="shared" si="256"/>
        <v>7.271335322286375E-3</v>
      </c>
      <c r="P237" s="281">
        <f t="shared" si="256"/>
        <v>6.3292077712034231E-3</v>
      </c>
      <c r="Q237" s="281">
        <f t="shared" ref="Q237:S237" si="257">Q$78 * Q207</f>
        <v>0</v>
      </c>
      <c r="R237" s="281">
        <f t="shared" si="257"/>
        <v>0</v>
      </c>
      <c r="S237" s="281">
        <f t="shared" si="257"/>
        <v>0</v>
      </c>
      <c r="T237" s="281">
        <f t="shared" ref="T237:U237" si="258">T$78 * T207</f>
        <v>6.1454786430122036E-3</v>
      </c>
      <c r="U237" s="281">
        <f t="shared" si="258"/>
        <v>0</v>
      </c>
      <c r="V237" s="281">
        <f t="shared" ref="V237:W237" si="259">V$78 * V207</f>
        <v>6.0585962870789494E-3</v>
      </c>
      <c r="W237" s="281">
        <f t="shared" si="259"/>
        <v>0</v>
      </c>
      <c r="X237" s="281">
        <f t="shared" ref="X237:Y237" si="260">X$78 * X207</f>
        <v>5.9832982452701277E-3</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2.0834541029653764E-2</v>
      </c>
      <c r="O239" s="282">
        <f t="shared" si="270"/>
        <v>1.8719052943417601E-2</v>
      </c>
      <c r="P239" s="282">
        <f t="shared" si="270"/>
        <v>1.6293675110253827E-2</v>
      </c>
      <c r="Q239" s="282">
        <f t="shared" ref="Q239:S239" si="271">Q$78 * Q209</f>
        <v>0</v>
      </c>
      <c r="R239" s="282">
        <f t="shared" si="271"/>
        <v>0</v>
      </c>
      <c r="S239" s="282">
        <f t="shared" si="271"/>
        <v>0</v>
      </c>
      <c r="T239" s="282">
        <f t="shared" ref="T239:U239" si="272">T$78 * T209</f>
        <v>1.582068973337012E-2</v>
      </c>
      <c r="U239" s="282">
        <f t="shared" si="272"/>
        <v>0</v>
      </c>
      <c r="V239" s="282">
        <f t="shared" ref="V239:W239" si="273">V$78 * V209</f>
        <v>1.5597023054764516E-2</v>
      </c>
      <c r="W239" s="282">
        <f t="shared" si="273"/>
        <v>0</v>
      </c>
      <c r="X239" s="282">
        <f t="shared" ref="X239:Y239" si="274">X$78 * X209</f>
        <v>1.5403178599972984E-2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2.9544436743995329E-3</v>
      </c>
      <c r="O240" s="282">
        <f t="shared" si="277"/>
        <v>2.6544567255268763E-3</v>
      </c>
      <c r="P240" s="282">
        <f t="shared" si="277"/>
        <v>2.3105258375355976E-3</v>
      </c>
      <c r="Q240" s="282">
        <f t="shared" ref="Q240:S240" si="278">Q$78 * Q210</f>
        <v>0</v>
      </c>
      <c r="R240" s="282">
        <f t="shared" si="278"/>
        <v>0</v>
      </c>
      <c r="S240" s="282">
        <f t="shared" si="278"/>
        <v>0</v>
      </c>
      <c r="T240" s="282">
        <f t="shared" ref="T240:U240" si="279">T$78 * T210</f>
        <v>2.2434541102137138E-3</v>
      </c>
      <c r="U240" s="282">
        <f t="shared" si="279"/>
        <v>0</v>
      </c>
      <c r="V240" s="282">
        <f t="shared" ref="V240:W240" si="280">V$78 * V210</f>
        <v>2.2117370398525397E-3</v>
      </c>
      <c r="W240" s="282">
        <f t="shared" si="280"/>
        <v>0</v>
      </c>
      <c r="X240" s="282">
        <f t="shared" ref="X240:Y240" si="281">X$78 * X210</f>
        <v>2.1842489122061888E-3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7.7533869118936701E-3</v>
      </c>
      <c r="O241" s="282">
        <f t="shared" si="284"/>
        <v>6.9661270621688689E-3</v>
      </c>
      <c r="P241" s="282">
        <f t="shared" si="284"/>
        <v>4.8508356259610533E-3</v>
      </c>
      <c r="Q241" s="282">
        <f t="shared" ref="Q241:S241" si="285">Q$78 * Q211</f>
        <v>0</v>
      </c>
      <c r="R241" s="282">
        <f t="shared" si="285"/>
        <v>0</v>
      </c>
      <c r="S241" s="282">
        <f t="shared" si="285"/>
        <v>0</v>
      </c>
      <c r="T241" s="282">
        <f t="shared" ref="T241:U241" si="286">T$78 * T211</f>
        <v>5.8875272817987745E-3</v>
      </c>
      <c r="U241" s="282">
        <f t="shared" si="286"/>
        <v>0</v>
      </c>
      <c r="V241" s="282">
        <f t="shared" ref="V241:W241" si="287">V$78 * V211</f>
        <v>5.8042917405857859E-3</v>
      </c>
      <c r="W241" s="282">
        <f t="shared" si="287"/>
        <v>0</v>
      </c>
      <c r="X241" s="282">
        <f t="shared" ref="X241:Y241" si="288">X$78 * X211</f>
        <v>5.7321542715345281E-3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7.4771298506657209E-3</v>
      </c>
      <c r="O242" s="282">
        <f t="shared" si="291"/>
        <v>6.7179204639165402E-3</v>
      </c>
      <c r="P242" s="282">
        <f t="shared" si="291"/>
        <v>0</v>
      </c>
      <c r="Q242" s="282">
        <f t="shared" ref="Q242:S242" si="292">Q$78 * Q212</f>
        <v>0</v>
      </c>
      <c r="R242" s="282">
        <f t="shared" si="292"/>
        <v>0</v>
      </c>
      <c r="S242" s="282">
        <f t="shared" si="292"/>
        <v>0</v>
      </c>
      <c r="T242" s="282">
        <f t="shared" ref="T242:U242" si="293">T$78 * T212</f>
        <v>5.6777517342539848E-3</v>
      </c>
      <c r="U242" s="282">
        <f t="shared" si="293"/>
        <v>0</v>
      </c>
      <c r="V242" s="282">
        <f t="shared" ref="V242:W242" si="294">V$78 * V212</f>
        <v>5.5974819170873397E-3</v>
      </c>
      <c r="W242" s="282">
        <f t="shared" si="294"/>
        <v>0</v>
      </c>
      <c r="X242" s="282">
        <f t="shared" ref="X242:Y242" si="295">X$78 * X212</f>
        <v>5.5279147422095812E-3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0</v>
      </c>
      <c r="O243" s="282">
        <f t="shared" si="298"/>
        <v>0</v>
      </c>
      <c r="P243" s="282">
        <f t="shared" si="298"/>
        <v>0</v>
      </c>
      <c r="Q243" s="282">
        <f t="shared" ref="Q243:S243" si="299">Q$78 * Q213</f>
        <v>0</v>
      </c>
      <c r="R243" s="282">
        <f t="shared" si="299"/>
        <v>0</v>
      </c>
      <c r="S243" s="282">
        <f t="shared" si="299"/>
        <v>0</v>
      </c>
      <c r="T243" s="282">
        <f t="shared" ref="T243:U243" si="300">T$78 * T213</f>
        <v>0</v>
      </c>
      <c r="U243" s="282">
        <f t="shared" si="300"/>
        <v>0</v>
      </c>
      <c r="V243" s="282">
        <f t="shared" ref="V243:W243" si="301">V$78 * V213</f>
        <v>0</v>
      </c>
      <c r="W243" s="282">
        <f t="shared" si="301"/>
        <v>0</v>
      </c>
      <c r="X243" s="282">
        <f t="shared" ref="X243:Y243" si="302">X$78 * X213</f>
        <v>0</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2.2957399263969936E-2</v>
      </c>
      <c r="O244" s="282">
        <f t="shared" si="305"/>
        <v>0</v>
      </c>
      <c r="P244" s="282">
        <f t="shared" si="305"/>
        <v>0</v>
      </c>
      <c r="Q244" s="282">
        <f t="shared" ref="Q244:S244" si="306">Q$78 * Q214</f>
        <v>0</v>
      </c>
      <c r="R244" s="282">
        <f t="shared" si="306"/>
        <v>0</v>
      </c>
      <c r="S244" s="282">
        <f t="shared" si="306"/>
        <v>0</v>
      </c>
      <c r="T244" s="282">
        <f t="shared" ref="T244:U244" si="307">T$78 * T214</f>
        <v>2.1790850247398255E-2</v>
      </c>
      <c r="U244" s="282">
        <f t="shared" si="307"/>
        <v>0</v>
      </c>
      <c r="V244" s="282">
        <f t="shared" ref="V244:W244" si="308">V$78 * V214</f>
        <v>2.1482779791497243E-2</v>
      </c>
      <c r="W244" s="282">
        <f t="shared" si="308"/>
        <v>0</v>
      </c>
      <c r="X244" s="282">
        <f t="shared" ref="X244:Y244" si="309">X$78 * X214</f>
        <v>2.1215785396383035E-2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9.4386849355430954E-3</v>
      </c>
      <c r="U245" s="282">
        <f t="shared" si="314"/>
        <v>0</v>
      </c>
      <c r="V245" s="282">
        <f t="shared" ref="V245:W245" si="315">V$78 * V215</f>
        <v>9.3052445264637882E-3</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2.2448908747038115E-2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0.117033715439345</v>
      </c>
      <c r="O250" s="272">
        <f t="shared" si="326"/>
        <v>7.9592984330242478E-2</v>
      </c>
      <c r="P250" s="272">
        <f t="shared" si="326"/>
        <v>5.325913516504404E-2</v>
      </c>
      <c r="Q250" s="272">
        <f t="shared" ref="Q250:S250" si="327">SUM(Q223:Q234,Q237:Q248)</f>
        <v>0</v>
      </c>
      <c r="R250" s="272">
        <f t="shared" si="327"/>
        <v>0</v>
      </c>
      <c r="S250" s="272">
        <f t="shared" si="327"/>
        <v>0</v>
      </c>
      <c r="T250" s="272">
        <f t="shared" ref="T250:U250" si="328">SUM(T223:T234,T237:T248)</f>
        <v>0.12816320996290698</v>
      </c>
      <c r="U250" s="272">
        <f t="shared" si="328"/>
        <v>0</v>
      </c>
      <c r="V250" s="272">
        <f t="shared" ref="V250:W250" si="329">SUM(V223:V234,V237:V248)</f>
        <v>0.10282741481374987</v>
      </c>
      <c r="W250" s="272">
        <f t="shared" si="329"/>
        <v>0</v>
      </c>
      <c r="X250" s="272">
        <f t="shared" ref="X250:Y250" si="330">SUM(X223:X234,X237:X248)</f>
        <v>7.8714520399531474E-2</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57"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1513019.9903896833</v>
      </c>
      <c r="K18" s="120">
        <f>'Volume adjustments'!K275</f>
        <v>0</v>
      </c>
      <c r="L18" s="120">
        <f>'Volume adjustments'!L275</f>
        <v>151741.15378691698</v>
      </c>
      <c r="M18" s="120">
        <f>'Volume adjustments'!M275</f>
        <v>0</v>
      </c>
      <c r="N18" s="120">
        <f>'Volume adjustments'!N275</f>
        <v>8313.6378812137664</v>
      </c>
      <c r="O18" s="120">
        <f>'Volume adjustments'!O275</f>
        <v>1655.738350862533</v>
      </c>
      <c r="P18" s="120">
        <f>'Volume adjustments'!P275</f>
        <v>1152.8436191996652</v>
      </c>
      <c r="Q18" s="120">
        <f>'Volume adjustments'!Q275</f>
        <v>24.817415221871428</v>
      </c>
      <c r="R18" s="120">
        <f>'Volume adjustments'!R275</f>
        <v>0</v>
      </c>
      <c r="S18" s="120">
        <f>'Volume adjustments'!S275</f>
        <v>0</v>
      </c>
      <c r="T18" s="120">
        <f>'Volume adjustments'!T275</f>
        <v>861.47352056885472</v>
      </c>
      <c r="U18" s="120">
        <f>'Volume adjustments'!U275</f>
        <v>0</v>
      </c>
      <c r="V18" s="120">
        <f>'Volume adjustments'!V275</f>
        <v>112.05985177756838</v>
      </c>
      <c r="W18" s="120">
        <f>'Volume adjustments'!W275</f>
        <v>0</v>
      </c>
      <c r="X18" s="120">
        <f>'Volume adjustments'!X275</f>
        <v>284.55473026719613</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1387.0555918683995</v>
      </c>
      <c r="K20" s="120">
        <f>'System peak demand'!K200</f>
        <v>31.033087235321247</v>
      </c>
      <c r="L20" s="120">
        <f>'System peak demand'!L200</f>
        <v>568.95088117029684</v>
      </c>
      <c r="M20" s="120">
        <f>'System peak demand'!M200</f>
        <v>12.870290321798837</v>
      </c>
      <c r="N20" s="120">
        <f>'System peak demand'!N200</f>
        <v>251.17572023977451</v>
      </c>
      <c r="O20" s="120">
        <f>'System peak demand'!O200</f>
        <v>131.30766936451727</v>
      </c>
      <c r="P20" s="120">
        <f>'System peak demand'!P200</f>
        <v>364.10549045531064</v>
      </c>
      <c r="Q20" s="120">
        <f>'System peak demand'!Q200</f>
        <v>27.339353468385369</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0.14534305400921746</v>
      </c>
      <c r="K34" s="120">
        <f>'Capacity charges'!K271</f>
        <v>0</v>
      </c>
      <c r="L34" s="120">
        <f>'Capacity charges'!L271</f>
        <v>0.14534305400921746</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2.3102594090935686</v>
      </c>
      <c r="K48" s="120">
        <f>'Capacity charges'!K285</f>
        <v>0</v>
      </c>
      <c r="L48" s="120">
        <f>'Capacity charges'!L285</f>
        <v>2.3102594090935686</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2.416431088352712</v>
      </c>
      <c r="K55" s="124">
        <f>'Service model charges'!K42</f>
        <v>0</v>
      </c>
      <c r="L55" s="124">
        <f>'Service model charges'!L42</f>
        <v>7.0853052605786528</v>
      </c>
      <c r="M55" s="124">
        <f>'Service model charges'!M42</f>
        <v>0</v>
      </c>
      <c r="N55" s="124">
        <f>'Service model charges'!N42</f>
        <v>14.136159429500619</v>
      </c>
      <c r="O55" s="124">
        <f>'Service model charges'!O42</f>
        <v>11.034791559616068</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101.87138209179749</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63.755459127934301</v>
      </c>
      <c r="Y56" s="125">
        <f>'Service model charges'!Y43</f>
        <v>63.755459127934301</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212209.36400285884</v>
      </c>
      <c r="K79" s="98">
        <f t="shared" si="49"/>
        <v>0</v>
      </c>
      <c r="L79" s="98">
        <f t="shared" ref="L79:M79" si="50">L$20 * L34 * thousand / PowerFactor</f>
        <v>87045.324895290862</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3373113.9284734935</v>
      </c>
      <c r="K93" s="98">
        <f t="shared" si="119"/>
        <v>0</v>
      </c>
      <c r="L93" s="98">
        <f t="shared" ref="L93:M93" si="120">L$20 * L48 * thousand / PowerFactor</f>
        <v>1383604.3437218477</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299254.6888981497</v>
      </c>
      <c r="K109" s="98">
        <f t="shared" si="133"/>
        <v>0</v>
      </c>
      <c r="L109" s="98">
        <f t="shared" si="133"/>
        <v>299254.6888981497</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4756718.2721953411</v>
      </c>
      <c r="K123" s="98">
        <f t="shared" si="143"/>
        <v>0</v>
      </c>
      <c r="L123" s="98">
        <f t="shared" si="143"/>
        <v>4756718.2721953411</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1664761.1441766003</v>
      </c>
      <c r="K129" s="89">
        <f t="shared" si="144"/>
        <v>12405.125369111454</v>
      </c>
      <c r="L129" s="89">
        <f t="shared" si="144"/>
        <v>1664761.1441766003</v>
      </c>
      <c r="M129" s="89">
        <f t="shared" si="144"/>
        <v>12405.125369111454</v>
      </c>
      <c r="N129" s="89">
        <f t="shared" si="144"/>
        <v>12405.125369111454</v>
      </c>
      <c r="O129" s="89">
        <f t="shared" si="144"/>
        <v>12405.125369111454</v>
      </c>
      <c r="P129" s="89">
        <f t="shared" si="144"/>
        <v>12405.125369111454</v>
      </c>
      <c r="Q129" s="89">
        <f t="shared" si="144"/>
        <v>12405.125369111454</v>
      </c>
      <c r="R129" s="89">
        <f t="shared" si="144"/>
        <v>12405.125369111454</v>
      </c>
      <c r="S129" s="89">
        <f t="shared" si="144"/>
        <v>12405.125369111454</v>
      </c>
      <c r="T129" s="89">
        <f t="shared" si="144"/>
        <v>12405.125369111454</v>
      </c>
      <c r="U129" s="89">
        <f t="shared" si="144"/>
        <v>12405.125369111454</v>
      </c>
      <c r="V129" s="89">
        <f t="shared" si="144"/>
        <v>12405.125369111454</v>
      </c>
      <c r="W129" s="89">
        <f t="shared" si="144"/>
        <v>12405.125369111454</v>
      </c>
      <c r="X129" s="89">
        <f t="shared" si="144"/>
        <v>12405.125369111454</v>
      </c>
      <c r="Y129" s="89">
        <f t="shared" si="144"/>
        <v>12405.125369111454</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0.17975833346720899</v>
      </c>
      <c r="K141" s="98">
        <f t="shared" si="208"/>
        <v>0</v>
      </c>
      <c r="L141" s="98">
        <f t="shared" ref="L141:M141" si="209">IF(L$129 = 0, 0, L109 / L$129)</f>
        <v>0.17975833346720899</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2.8572977503917172</v>
      </c>
      <c r="K155" s="98">
        <f t="shared" si="278"/>
        <v>0</v>
      </c>
      <c r="L155" s="98">
        <f t="shared" ref="L155:M155" si="279">IF(L$129 = 0, 0, L123 / L$129)</f>
        <v>2.8572977503917172</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2.416431088352712</v>
      </c>
      <c r="K156" s="126">
        <f t="shared" si="285"/>
        <v>0</v>
      </c>
      <c r="L156" s="126">
        <f t="shared" ref="L156:M156" si="286">L55</f>
        <v>7.0853052605786528</v>
      </c>
      <c r="M156" s="126">
        <f t="shared" si="286"/>
        <v>0</v>
      </c>
      <c r="N156" s="126">
        <f t="shared" ref="N156:P156" si="287">N55</f>
        <v>14.136159429500619</v>
      </c>
      <c r="O156" s="126">
        <f t="shared" si="287"/>
        <v>11.034791559616068</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101.87138209179749</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63.755459127934301</v>
      </c>
      <c r="Y157" s="100">
        <f t="shared" si="298"/>
        <v>63.755459127934301</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5.4534871722116378</v>
      </c>
      <c r="K161" s="121">
        <f t="shared" si="299"/>
        <v>0</v>
      </c>
      <c r="L161" s="121">
        <f t="shared" ref="L161:M161" si="300">SUM(L132:L143,L146:L157)</f>
        <v>10.122361344437579</v>
      </c>
      <c r="M161" s="121">
        <f t="shared" si="300"/>
        <v>0</v>
      </c>
      <c r="N161" s="121">
        <f t="shared" ref="N161:P161" si="301">SUM(N132:N143,N146:N157)</f>
        <v>14.136159429500619</v>
      </c>
      <c r="O161" s="121">
        <f t="shared" si="301"/>
        <v>11.034791559616068</v>
      </c>
      <c r="P161" s="121">
        <f t="shared" si="301"/>
        <v>101.87138209179749</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63.755459127934301</v>
      </c>
      <c r="Y161" s="121">
        <f>SUM(Y132:Y143,Y146:Y157)</f>
        <v>63.755459127934301</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activeCell="K40" sqref="K40"/>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1491636.9166571859</v>
      </c>
      <c r="K20" s="278">
        <f>'Volume adjustments'!K202</f>
        <v>0</v>
      </c>
      <c r="L20" s="278">
        <f>'Volume adjustments'!L202</f>
        <v>151146.83013333552</v>
      </c>
      <c r="M20" s="278">
        <f>'Volume adjustments'!M202</f>
        <v>0</v>
      </c>
      <c r="N20" s="278">
        <f>'Volume adjustments'!N202</f>
        <v>8177.5038192570391</v>
      </c>
      <c r="O20" s="278">
        <f>'Volume adjustments'!O202</f>
        <v>1651.9050450176878</v>
      </c>
      <c r="P20" s="278">
        <f>'Volume adjustments'!P202</f>
        <v>1143.7555354165991</v>
      </c>
      <c r="Q20" s="278">
        <f>'Volume adjustments'!Q202</f>
        <v>24.569263564139717</v>
      </c>
      <c r="R20" s="278">
        <f>'Volume adjustments'!R202</f>
        <v>0</v>
      </c>
      <c r="S20" s="278">
        <f>'Volume adjustments'!S202</f>
        <v>0</v>
      </c>
      <c r="T20" s="278">
        <f>'Volume adjustments'!T202</f>
        <v>861.47352056885472</v>
      </c>
      <c r="U20" s="278">
        <f>'Volume adjustments'!U202</f>
        <v>0</v>
      </c>
      <c r="V20" s="278">
        <f>'Volume adjustments'!V202</f>
        <v>112.05985177756838</v>
      </c>
      <c r="W20" s="278">
        <f>'Volume adjustments'!W202</f>
        <v>0</v>
      </c>
      <c r="X20" s="278">
        <f>'Volume adjustments'!X202</f>
        <v>284.55473026719613</v>
      </c>
      <c r="Y20" s="278">
        <f>'Volume adjustments'!Y202</f>
        <v>0</v>
      </c>
      <c r="Z20" s="267"/>
      <c r="AA20" s="267"/>
    </row>
    <row r="21" spans="3:27" x14ac:dyDescent="0.3">
      <c r="C21" s="88"/>
      <c r="F21" t="s">
        <v>448</v>
      </c>
      <c r="G21" t="s">
        <v>212</v>
      </c>
      <c r="H21" s="279"/>
      <c r="I21" s="267"/>
      <c r="J21" s="279">
        <f>'Volume adjustments'!J211</f>
        <v>11395.451848846675</v>
      </c>
      <c r="K21" s="279">
        <f>'Volume adjustments'!K211</f>
        <v>0</v>
      </c>
      <c r="L21" s="279">
        <f>'Volume adjustments'!L211</f>
        <v>246.75544958396392</v>
      </c>
      <c r="M21" s="279">
        <f>'Volume adjustments'!M211</f>
        <v>0</v>
      </c>
      <c r="N21" s="279">
        <f>'Volume adjustments'!N211</f>
        <v>34.444621042666761</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33714.381027148498</v>
      </c>
      <c r="K22" s="279">
        <f>'Volume adjustments'!K220</f>
        <v>0</v>
      </c>
      <c r="L22" s="279">
        <f>'Volume adjustments'!L220</f>
        <v>1038.9920510241375</v>
      </c>
      <c r="M22" s="279">
        <f>'Volume adjustments'!M220</f>
        <v>0</v>
      </c>
      <c r="N22" s="279">
        <f>'Volume adjustments'!N220</f>
        <v>270.14849660438779</v>
      </c>
      <c r="O22" s="279">
        <f>'Volume adjustments'!O220</f>
        <v>5.4782154927201754</v>
      </c>
      <c r="P22" s="279">
        <f>'Volume adjustments'!P220</f>
        <v>10.956430985440345</v>
      </c>
      <c r="Q22" s="279">
        <f>'Volume adjustments'!Q220</f>
        <v>0.58390516788023794</v>
      </c>
      <c r="R22" s="279">
        <f>'Volume adjustments'!R220</f>
        <v>0</v>
      </c>
      <c r="S22" s="279">
        <f>'Volume adjustments'!S220</f>
        <v>0</v>
      </c>
      <c r="T22" s="279">
        <f>'Volume adjustments'!T220</f>
        <v>4.912912803409677</v>
      </c>
      <c r="U22" s="279">
        <f>'Volume adjustments'!U220</f>
        <v>0</v>
      </c>
      <c r="V22" s="279">
        <f>'Volume adjustments'!V220</f>
        <v>0</v>
      </c>
      <c r="W22" s="279">
        <f>'Volume adjustments'!W220</f>
        <v>0</v>
      </c>
      <c r="X22" s="279">
        <f>'Volume adjustments'!X220</f>
        <v>0.24209302560552895</v>
      </c>
      <c r="Y22" s="279">
        <f>'Volume adjustments'!Y220</f>
        <v>0</v>
      </c>
      <c r="Z22" s="267"/>
      <c r="AA22" s="267"/>
    </row>
    <row r="23" spans="3:27" x14ac:dyDescent="0.3">
      <c r="C23" s="88"/>
      <c r="F23" s="37" t="s">
        <v>871</v>
      </c>
      <c r="G23" s="37" t="s">
        <v>212</v>
      </c>
      <c r="H23" s="211"/>
      <c r="I23" s="37"/>
      <c r="J23" s="125">
        <f>'Inputs by customer type'!J161</f>
        <v>2680.4702368135927</v>
      </c>
      <c r="K23" s="125">
        <f>'Inputs by customer type'!K161</f>
        <v>0</v>
      </c>
      <c r="L23" s="125">
        <f>'Inputs by customer type'!L161</f>
        <v>46.533029547315067</v>
      </c>
      <c r="M23" s="125">
        <f>'Inputs by customer type'!M161</f>
        <v>0</v>
      </c>
      <c r="N23" s="125">
        <f>'Inputs by customer type'!N161</f>
        <v>0</v>
      </c>
      <c r="O23" s="125">
        <f>'Inputs by customer type'!O161</f>
        <v>0</v>
      </c>
      <c r="P23" s="125">
        <f>'Inputs by customer type'!P161</f>
        <v>0</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53693143.915295348</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592045.11275566602</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1539427.2197699947</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1539427.2197699947</v>
      </c>
      <c r="K37" s="82">
        <f t="shared" si="1"/>
        <v>0</v>
      </c>
      <c r="L37" s="82">
        <f t="shared" si="1"/>
        <v>152479.11066349092</v>
      </c>
      <c r="M37" s="82">
        <f t="shared" si="1"/>
        <v>0</v>
      </c>
      <c r="N37" s="82">
        <f t="shared" si="1"/>
        <v>8482.096936904094</v>
      </c>
      <c r="O37" s="82">
        <f t="shared" si="1"/>
        <v>1657.383260510408</v>
      </c>
      <c r="P37" s="82">
        <f t="shared" si="1"/>
        <v>1154.7119664020395</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9.555794648057498</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9.5234905302665457E-2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9.555794648057498</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9.5234905302665457E-2</v>
      </c>
      <c r="K45" s="323">
        <f t="shared" si="3"/>
        <v>0</v>
      </c>
      <c r="L45" s="323">
        <f t="shared" si="3"/>
        <v>9.5234905302665457E-2</v>
      </c>
      <c r="M45" s="323">
        <f t="shared" si="3"/>
        <v>0</v>
      </c>
      <c r="N45" s="323">
        <f t="shared" si="3"/>
        <v>9.5234905302665457E-2</v>
      </c>
      <c r="O45" s="323">
        <f t="shared" si="3"/>
        <v>9.5234905302665457E-2</v>
      </c>
      <c r="P45" s="323">
        <f t="shared" si="3"/>
        <v>9.5234905302665457E-2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9.6510295533601642</v>
      </c>
      <c r="K46" s="324">
        <f t="shared" ref="K46:Y46" si="4" xml:space="preserve"> K44 + K45</f>
        <v>0</v>
      </c>
      <c r="L46" s="324">
        <f t="shared" si="4"/>
        <v>9.5234905302665457E-2</v>
      </c>
      <c r="M46" s="324">
        <f t="shared" si="4"/>
        <v>0</v>
      </c>
      <c r="N46" s="324">
        <f t="shared" si="4"/>
        <v>9.5234905302665457E-2</v>
      </c>
      <c r="O46" s="324">
        <f t="shared" si="4"/>
        <v>9.5234905302665457E-2</v>
      </c>
      <c r="P46" s="324">
        <f t="shared" si="4"/>
        <v>9.5234905302665457E-2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54133837.279578395</v>
      </c>
      <c r="K50" s="215">
        <f t="shared" si="5"/>
        <v>0</v>
      </c>
      <c r="L50" s="215">
        <f t="shared" si="5"/>
        <v>52986.692650435849</v>
      </c>
      <c r="M50" s="215">
        <f t="shared" si="5"/>
        <v>0</v>
      </c>
      <c r="N50" s="215">
        <f t="shared" si="5"/>
        <v>2948.4396997224289</v>
      </c>
      <c r="O50" s="215">
        <f t="shared" si="5"/>
        <v>576.11869320700043</v>
      </c>
      <c r="P50" s="215">
        <f t="shared" si="5"/>
        <v>401.38642941835792</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54190749.917051189</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94422.935774224607</v>
      </c>
      <c r="K54" s="215">
        <f t="shared" si="6"/>
        <v>0</v>
      </c>
      <c r="L54" s="215">
        <f t="shared" si="6"/>
        <v>16.175225617704097</v>
      </c>
      <c r="M54" s="215">
        <f t="shared" si="6"/>
        <v>0</v>
      </c>
      <c r="N54" s="215">
        <f t="shared" si="6"/>
        <v>0</v>
      </c>
      <c r="O54" s="215">
        <f t="shared" si="6"/>
        <v>0</v>
      </c>
      <c r="P54" s="215">
        <f t="shared" si="6"/>
        <v>0</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94439.110999842305</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54228260.215352617</v>
      </c>
      <c r="K60" s="215">
        <f t="shared" ref="K60:Y60" si="7" xml:space="preserve"> K50 + K54</f>
        <v>0</v>
      </c>
      <c r="L60" s="215">
        <f t="shared" si="7"/>
        <v>53002.867876053555</v>
      </c>
      <c r="M60" s="215">
        <f t="shared" si="7"/>
        <v>0</v>
      </c>
      <c r="N60" s="215">
        <f t="shared" si="7"/>
        <v>2948.4396997224289</v>
      </c>
      <c r="O60" s="215">
        <f t="shared" si="7"/>
        <v>576.11869320700043</v>
      </c>
      <c r="P60" s="215">
        <f t="shared" si="7"/>
        <v>401.38642941835792</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54285189.028051026</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24" activePane="bottomRight" state="frozen"/>
      <selection pane="topRight"/>
      <selection pane="bottomLeft"/>
      <selection pane="bottomRight" activeCell="J29" sqref="J29"/>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14.404584738069387</v>
      </c>
      <c r="K20" s="278">
        <f>'Unit rate charges'!K217</f>
        <v>14.404584738069387</v>
      </c>
      <c r="L20" s="278">
        <f>'Unit rate charges'!L217</f>
        <v>13.053773387662252</v>
      </c>
      <c r="M20" s="278">
        <f>'Unit rate charges'!M217</f>
        <v>13.053773387662252</v>
      </c>
      <c r="N20" s="278">
        <f>'Unit rate charges'!N217</f>
        <v>8.4072143362764926</v>
      </c>
      <c r="O20" s="278">
        <f>'Unit rate charges'!O217</f>
        <v>6.5529368444037495</v>
      </c>
      <c r="P20" s="278">
        <f>'Unit rate charges'!P217</f>
        <v>4.8030608077080501</v>
      </c>
      <c r="Q20" s="278">
        <f>'Unit rate charges'!Q217</f>
        <v>36.675826680472731</v>
      </c>
      <c r="R20" s="278">
        <f>'Unit rate charges'!R217</f>
        <v>-8.5656881932319084</v>
      </c>
      <c r="S20" s="278">
        <f>'Unit rate charges'!S217</f>
        <v>-7.756691054523416</v>
      </c>
      <c r="T20" s="278">
        <f>'Unit rate charges'!T217</f>
        <v>-8.5656881932319084</v>
      </c>
      <c r="U20" s="278">
        <f>'Unit rate charges'!U217</f>
        <v>-8.5656881932319084</v>
      </c>
      <c r="V20" s="278">
        <f>'Unit rate charges'!V217</f>
        <v>-7.756691054523416</v>
      </c>
      <c r="W20" s="278">
        <f>'Unit rate charges'!W217</f>
        <v>-7.756691054523416</v>
      </c>
      <c r="X20" s="278">
        <f>'Unit rate charges'!X217</f>
        <v>-5.2246528598629354</v>
      </c>
      <c r="Y20" s="278">
        <f>'Unit rate charges'!Y217</f>
        <v>-5.2246528598629354</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0.72371799810694781</v>
      </c>
      <c r="K21" s="342">
        <f>'Unit rate charges'!K218</f>
        <v>0.72371799810694781</v>
      </c>
      <c r="L21" s="342">
        <f>'Unit rate charges'!L218</f>
        <v>0.65585026681767888</v>
      </c>
      <c r="M21" s="342">
        <f>'Unit rate charges'!M218</f>
        <v>0.65585026681767888</v>
      </c>
      <c r="N21" s="342">
        <f>'Unit rate charges'!N218</f>
        <v>0.38262023285484648</v>
      </c>
      <c r="O21" s="342">
        <f>'Unit rate charges'!O218</f>
        <v>0.2361769239194762</v>
      </c>
      <c r="P21" s="342">
        <f>'Unit rate charges'!P218</f>
        <v>0.1314028636233896</v>
      </c>
      <c r="Q21" s="342">
        <f>'Unit rate charges'!Q218</f>
        <v>1.9837579977322077</v>
      </c>
      <c r="R21" s="342">
        <f>'Unit rate charges'!R218</f>
        <v>-0.43035900196627064</v>
      </c>
      <c r="S21" s="342">
        <f>'Unit rate charges'!S218</f>
        <v>-0.36699458766190662</v>
      </c>
      <c r="T21" s="342">
        <f>'Unit rate charges'!T218</f>
        <v>-0.43035900196627064</v>
      </c>
      <c r="U21" s="342">
        <f>'Unit rate charges'!U218</f>
        <v>-0.43035900196627064</v>
      </c>
      <c r="V21" s="342">
        <f>'Unit rate charges'!V218</f>
        <v>-0.36699458766190662</v>
      </c>
      <c r="W21" s="342">
        <f>'Unit rate charges'!W218</f>
        <v>-0.36699458766190662</v>
      </c>
      <c r="X21" s="342">
        <f>'Unit rate charges'!X218</f>
        <v>-0.1707415547963361</v>
      </c>
      <c r="Y21" s="342">
        <f>'Unit rate charges'!Y218</f>
        <v>-0.1707415547963361</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6.8790204779568292E-2</v>
      </c>
      <c r="K22" s="342">
        <f>'Unit rate charges'!K219</f>
        <v>6.8790204779568292E-2</v>
      </c>
      <c r="L22" s="342">
        <f>'Unit rate charges'!L219</f>
        <v>6.2339301049765511E-2</v>
      </c>
      <c r="M22" s="342">
        <f>'Unit rate charges'!M219</f>
        <v>6.2339301049765511E-2</v>
      </c>
      <c r="N22" s="342">
        <f>'Unit rate charges'!N219</f>
        <v>3.6117671579289766E-2</v>
      </c>
      <c r="O22" s="342">
        <f>'Unit rate charges'!O219</f>
        <v>2.1862115772109857E-2</v>
      </c>
      <c r="P22" s="342">
        <f>'Unit rate charges'!P219</f>
        <v>1.1741977572095842E-2</v>
      </c>
      <c r="Q22" s="342">
        <f>'Unit rate charges'!Q219</f>
        <v>1.0655243781382517</v>
      </c>
      <c r="R22" s="342">
        <f>'Unit rate charges'!R219</f>
        <v>-4.0906104244232938E-2</v>
      </c>
      <c r="S22" s="342">
        <f>'Unit rate charges'!S219</f>
        <v>-3.4739995085472319E-2</v>
      </c>
      <c r="T22" s="342">
        <f>'Unit rate charges'!T219</f>
        <v>-4.0906104244232938E-2</v>
      </c>
      <c r="U22" s="342">
        <f>'Unit rate charges'!U219</f>
        <v>-4.0906104244232938E-2</v>
      </c>
      <c r="V22" s="342">
        <f>'Unit rate charges'!V219</f>
        <v>-3.4739995085472319E-2</v>
      </c>
      <c r="W22" s="342">
        <f>'Unit rate charges'!W219</f>
        <v>-3.4739995085472319E-2</v>
      </c>
      <c r="X22" s="342">
        <f>'Unit rate charges'!X219</f>
        <v>-1.55965181875376E-2</v>
      </c>
      <c r="Y22" s="342">
        <f>'Unit rate charges'!Y219</f>
        <v>-1.55965181875376E-2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5.4534871722116378</v>
      </c>
      <c r="K23" s="124">
        <f>'Fixed charges'!K161</f>
        <v>0</v>
      </c>
      <c r="L23" s="124">
        <f>'Fixed charges'!L161</f>
        <v>10.122361344437579</v>
      </c>
      <c r="M23" s="124">
        <f>'Fixed charges'!M161</f>
        <v>0</v>
      </c>
      <c r="N23" s="124">
        <f>'Fixed charges'!N161</f>
        <v>14.136159429500619</v>
      </c>
      <c r="O23" s="124">
        <f>'Fixed charges'!O161</f>
        <v>11.034791559616068</v>
      </c>
      <c r="P23" s="124">
        <f>'Fixed charges'!P161</f>
        <v>101.87138209179749</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63.755459127934301</v>
      </c>
      <c r="Y23" s="124">
        <f>'Fixed charges'!Y161</f>
        <v>63.755459127934301</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3.9816938198221941</v>
      </c>
      <c r="O24" s="124">
        <f>'Capacity charges'!O256</f>
        <v>3.6103184247786979</v>
      </c>
      <c r="P24" s="124">
        <f>'Capacity charges'!P256</f>
        <v>3.0666881743347854</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8.2981300945898191</v>
      </c>
      <c r="O25" s="125">
        <f>'Capacity charges'!O257</f>
        <v>6.8753494006560389</v>
      </c>
      <c r="P25" s="125">
        <f>'Capacity charges'!P257</f>
        <v>6.7796855916892635</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0.117033715439345</v>
      </c>
      <c r="O26" s="283">
        <f>'Reactive power charges'!O250</f>
        <v>7.9592984330242478E-2</v>
      </c>
      <c r="P26" s="283">
        <f>'Reactive power charges'!P250</f>
        <v>5.325913516504404E-2</v>
      </c>
      <c r="Q26" s="283">
        <f>'Reactive power charges'!Q250</f>
        <v>0</v>
      </c>
      <c r="R26" s="283">
        <f>'Reactive power charges'!R250</f>
        <v>0</v>
      </c>
      <c r="S26" s="283">
        <f>'Reactive power charges'!S250</f>
        <v>0</v>
      </c>
      <c r="T26" s="283">
        <f>'Reactive power charges'!T250</f>
        <v>0.12816320996290698</v>
      </c>
      <c r="U26" s="283">
        <f>'Reactive power charges'!U250</f>
        <v>0</v>
      </c>
      <c r="V26" s="283">
        <f>'Reactive power charges'!V250</f>
        <v>0.10282741481374987</v>
      </c>
      <c r="W26" s="283">
        <f>'Reactive power charges'!W250</f>
        <v>0</v>
      </c>
      <c r="X26" s="283">
        <f>'Reactive power charges'!X250</f>
        <v>7.8714520399531474E-2</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9.6510295533601642</v>
      </c>
      <c r="K29" s="339">
        <f>'SoLR &amp; bad debt adders'!K46</f>
        <v>0</v>
      </c>
      <c r="L29" s="339">
        <f>'SoLR &amp; bad debt adders'!L46</f>
        <v>9.5234905302665457E-2</v>
      </c>
      <c r="M29" s="339">
        <f>'SoLR &amp; bad debt adders'!M46</f>
        <v>0</v>
      </c>
      <c r="N29" s="339">
        <f>'SoLR &amp; bad debt adders'!N46</f>
        <v>9.5234905302665457E-2</v>
      </c>
      <c r="O29" s="339">
        <f>'SoLR &amp; bad debt adders'!O46</f>
        <v>9.5234905302665457E-2</v>
      </c>
      <c r="P29" s="339">
        <f>'SoLR &amp; bad debt adders'!P46</f>
        <v>9.5234905302665457E-2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14.404584738069387</v>
      </c>
      <c r="K40" s="274">
        <f t="shared" si="0"/>
        <v>14.404584738069387</v>
      </c>
      <c r="L40" s="274">
        <f t="shared" si="0"/>
        <v>13.053773387662252</v>
      </c>
      <c r="M40" s="274">
        <f t="shared" si="0"/>
        <v>13.053773387662252</v>
      </c>
      <c r="N40" s="274">
        <f t="shared" si="0"/>
        <v>13.053773387662252</v>
      </c>
      <c r="O40" s="274">
        <f t="shared" si="0"/>
        <v>13.053773387662252</v>
      </c>
      <c r="P40" s="274">
        <f t="shared" si="0"/>
        <v>13.053773387662252</v>
      </c>
      <c r="Q40" s="274">
        <f t="shared" si="0"/>
        <v>13.053773387662252</v>
      </c>
      <c r="R40" s="274">
        <f t="shared" si="0"/>
        <v>8.4072143362764926</v>
      </c>
      <c r="S40" s="274">
        <f t="shared" si="0"/>
        <v>8.4072143362764926</v>
      </c>
      <c r="T40" s="274">
        <f t="shared" si="0"/>
        <v>8.4072143362764926</v>
      </c>
      <c r="U40" s="274">
        <f t="shared" si="0"/>
        <v>8.4072143362764926</v>
      </c>
      <c r="V40" s="274">
        <f t="shared" si="0"/>
        <v>8.4072143362764926</v>
      </c>
      <c r="W40" s="274">
        <f t="shared" si="0"/>
        <v>6.5529368444037495</v>
      </c>
      <c r="X40" s="274">
        <f t="shared" si="0"/>
        <v>6.5529368444037495</v>
      </c>
      <c r="Y40" s="274">
        <f t="shared" si="0"/>
        <v>6.5529368444037495</v>
      </c>
      <c r="Z40" s="274">
        <f t="shared" si="0"/>
        <v>6.5529368444037495</v>
      </c>
      <c r="AA40" s="274">
        <f t="shared" si="0"/>
        <v>6.5529368444037495</v>
      </c>
      <c r="AB40" s="274">
        <f t="shared" si="0"/>
        <v>4.8030608077080501</v>
      </c>
      <c r="AC40" s="274">
        <f t="shared" si="0"/>
        <v>4.8030608077080501</v>
      </c>
      <c r="AD40" s="274">
        <f t="shared" si="0"/>
        <v>4.8030608077080501</v>
      </c>
      <c r="AE40" s="274">
        <f t="shared" si="0"/>
        <v>4.8030608077080501</v>
      </c>
      <c r="AF40" s="274">
        <f t="shared" si="0"/>
        <v>4.8030608077080501</v>
      </c>
      <c r="AG40" s="274">
        <f t="shared" si="0"/>
        <v>36.675826680472731</v>
      </c>
      <c r="AH40" s="274">
        <f t="shared" si="0"/>
        <v>-8.5656881932319084</v>
      </c>
      <c r="AI40" s="274">
        <f t="shared" si="0"/>
        <v>-7.756691054523416</v>
      </c>
      <c r="AJ40" s="274">
        <f t="shared" si="0"/>
        <v>-8.5656881932319084</v>
      </c>
      <c r="AK40" s="274">
        <f t="shared" si="0"/>
        <v>-8.5656881932319084</v>
      </c>
      <c r="AL40" s="274">
        <f t="shared" si="0"/>
        <v>-7.756691054523416</v>
      </c>
      <c r="AM40" s="274">
        <f t="shared" si="0"/>
        <v>-7.756691054523416</v>
      </c>
      <c r="AN40" s="274">
        <f t="shared" si="0"/>
        <v>-5.2246528598629354</v>
      </c>
      <c r="AO40" s="274">
        <f t="shared" si="0"/>
        <v>-5.2246528598629354</v>
      </c>
      <c r="AP40" s="267"/>
      <c r="AQ40" s="267"/>
    </row>
    <row r="41" spans="1:43" x14ac:dyDescent="0.3">
      <c r="D41"/>
      <c r="E41" s="88"/>
      <c r="F41" t="s">
        <v>157</v>
      </c>
      <c r="G41" t="s">
        <v>269</v>
      </c>
      <c r="H41" s="267"/>
      <c r="I41" s="267"/>
      <c r="J41" s="275">
        <f t="shared" ref="J41:AO41" si="1">INDEX($J21:$Y21,J$37)</f>
        <v>0.72371799810694781</v>
      </c>
      <c r="K41" s="275">
        <f t="shared" si="1"/>
        <v>0.72371799810694781</v>
      </c>
      <c r="L41" s="275">
        <f t="shared" si="1"/>
        <v>0.65585026681767888</v>
      </c>
      <c r="M41" s="275">
        <f t="shared" si="1"/>
        <v>0.65585026681767888</v>
      </c>
      <c r="N41" s="275">
        <f t="shared" si="1"/>
        <v>0.65585026681767888</v>
      </c>
      <c r="O41" s="275">
        <f t="shared" si="1"/>
        <v>0.65585026681767888</v>
      </c>
      <c r="P41" s="275">
        <f t="shared" si="1"/>
        <v>0.65585026681767888</v>
      </c>
      <c r="Q41" s="275">
        <f t="shared" si="1"/>
        <v>0.65585026681767888</v>
      </c>
      <c r="R41" s="275">
        <f t="shared" si="1"/>
        <v>0.38262023285484648</v>
      </c>
      <c r="S41" s="275">
        <f t="shared" si="1"/>
        <v>0.38262023285484648</v>
      </c>
      <c r="T41" s="275">
        <f t="shared" si="1"/>
        <v>0.38262023285484648</v>
      </c>
      <c r="U41" s="275">
        <f t="shared" si="1"/>
        <v>0.38262023285484648</v>
      </c>
      <c r="V41" s="275">
        <f t="shared" si="1"/>
        <v>0.38262023285484648</v>
      </c>
      <c r="W41" s="275">
        <f t="shared" si="1"/>
        <v>0.2361769239194762</v>
      </c>
      <c r="X41" s="275">
        <f t="shared" si="1"/>
        <v>0.2361769239194762</v>
      </c>
      <c r="Y41" s="275">
        <f t="shared" si="1"/>
        <v>0.2361769239194762</v>
      </c>
      <c r="Z41" s="275">
        <f t="shared" si="1"/>
        <v>0.2361769239194762</v>
      </c>
      <c r="AA41" s="275">
        <f t="shared" si="1"/>
        <v>0.2361769239194762</v>
      </c>
      <c r="AB41" s="275">
        <f t="shared" si="1"/>
        <v>0.1314028636233896</v>
      </c>
      <c r="AC41" s="275">
        <f t="shared" si="1"/>
        <v>0.1314028636233896</v>
      </c>
      <c r="AD41" s="275">
        <f t="shared" si="1"/>
        <v>0.1314028636233896</v>
      </c>
      <c r="AE41" s="275">
        <f t="shared" si="1"/>
        <v>0.1314028636233896</v>
      </c>
      <c r="AF41" s="275">
        <f t="shared" si="1"/>
        <v>0.1314028636233896</v>
      </c>
      <c r="AG41" s="275">
        <f t="shared" si="1"/>
        <v>1.9837579977322077</v>
      </c>
      <c r="AH41" s="275">
        <f t="shared" si="1"/>
        <v>-0.43035900196627064</v>
      </c>
      <c r="AI41" s="275">
        <f t="shared" si="1"/>
        <v>-0.36699458766190662</v>
      </c>
      <c r="AJ41" s="275">
        <f t="shared" si="1"/>
        <v>-0.43035900196627064</v>
      </c>
      <c r="AK41" s="275">
        <f t="shared" si="1"/>
        <v>-0.43035900196627064</v>
      </c>
      <c r="AL41" s="275">
        <f t="shared" si="1"/>
        <v>-0.36699458766190662</v>
      </c>
      <c r="AM41" s="275">
        <f t="shared" si="1"/>
        <v>-0.36699458766190662</v>
      </c>
      <c r="AN41" s="275">
        <f t="shared" si="1"/>
        <v>-0.1707415547963361</v>
      </c>
      <c r="AO41" s="275">
        <f t="shared" si="1"/>
        <v>-0.1707415547963361</v>
      </c>
      <c r="AP41" s="267"/>
      <c r="AQ41" s="267"/>
    </row>
    <row r="42" spans="1:43" x14ac:dyDescent="0.3">
      <c r="D42"/>
      <c r="E42" s="88"/>
      <c r="F42" t="s">
        <v>158</v>
      </c>
      <c r="G42" t="s">
        <v>269</v>
      </c>
      <c r="H42" s="267"/>
      <c r="I42" s="267"/>
      <c r="J42" s="275">
        <f t="shared" ref="J42:AO42" si="2">INDEX($J22:$Y22,J$37)</f>
        <v>6.8790204779568292E-2</v>
      </c>
      <c r="K42" s="275">
        <f t="shared" si="2"/>
        <v>6.8790204779568292E-2</v>
      </c>
      <c r="L42" s="275">
        <f t="shared" si="2"/>
        <v>6.2339301049765511E-2</v>
      </c>
      <c r="M42" s="275">
        <f t="shared" si="2"/>
        <v>6.2339301049765511E-2</v>
      </c>
      <c r="N42" s="275">
        <f t="shared" si="2"/>
        <v>6.2339301049765511E-2</v>
      </c>
      <c r="O42" s="275">
        <f t="shared" si="2"/>
        <v>6.2339301049765511E-2</v>
      </c>
      <c r="P42" s="275">
        <f t="shared" si="2"/>
        <v>6.2339301049765511E-2</v>
      </c>
      <c r="Q42" s="275">
        <f t="shared" si="2"/>
        <v>6.2339301049765511E-2</v>
      </c>
      <c r="R42" s="275">
        <f t="shared" si="2"/>
        <v>3.6117671579289766E-2</v>
      </c>
      <c r="S42" s="275">
        <f t="shared" si="2"/>
        <v>3.6117671579289766E-2</v>
      </c>
      <c r="T42" s="275">
        <f t="shared" si="2"/>
        <v>3.6117671579289766E-2</v>
      </c>
      <c r="U42" s="275">
        <f t="shared" si="2"/>
        <v>3.6117671579289766E-2</v>
      </c>
      <c r="V42" s="275">
        <f t="shared" si="2"/>
        <v>3.6117671579289766E-2</v>
      </c>
      <c r="W42" s="275">
        <f t="shared" si="2"/>
        <v>2.1862115772109857E-2</v>
      </c>
      <c r="X42" s="275">
        <f t="shared" si="2"/>
        <v>2.1862115772109857E-2</v>
      </c>
      <c r="Y42" s="275">
        <f t="shared" si="2"/>
        <v>2.1862115772109857E-2</v>
      </c>
      <c r="Z42" s="275">
        <f t="shared" si="2"/>
        <v>2.1862115772109857E-2</v>
      </c>
      <c r="AA42" s="275">
        <f t="shared" si="2"/>
        <v>2.1862115772109857E-2</v>
      </c>
      <c r="AB42" s="275">
        <f t="shared" si="2"/>
        <v>1.1741977572095842E-2</v>
      </c>
      <c r="AC42" s="275">
        <f t="shared" si="2"/>
        <v>1.1741977572095842E-2</v>
      </c>
      <c r="AD42" s="275">
        <f t="shared" si="2"/>
        <v>1.1741977572095842E-2</v>
      </c>
      <c r="AE42" s="275">
        <f t="shared" si="2"/>
        <v>1.1741977572095842E-2</v>
      </c>
      <c r="AF42" s="275">
        <f t="shared" si="2"/>
        <v>1.1741977572095842E-2</v>
      </c>
      <c r="AG42" s="275">
        <f t="shared" si="2"/>
        <v>1.0655243781382517</v>
      </c>
      <c r="AH42" s="275">
        <f t="shared" si="2"/>
        <v>-4.0906104244232938E-2</v>
      </c>
      <c r="AI42" s="275">
        <f t="shared" si="2"/>
        <v>-3.4739995085472319E-2</v>
      </c>
      <c r="AJ42" s="275">
        <f t="shared" si="2"/>
        <v>-4.0906104244232938E-2</v>
      </c>
      <c r="AK42" s="275">
        <f t="shared" si="2"/>
        <v>-4.0906104244232938E-2</v>
      </c>
      <c r="AL42" s="275">
        <f t="shared" si="2"/>
        <v>-3.4739995085472319E-2</v>
      </c>
      <c r="AM42" s="275">
        <f t="shared" si="2"/>
        <v>-3.4739995085472319E-2</v>
      </c>
      <c r="AN42" s="275">
        <f t="shared" si="2"/>
        <v>-1.55965181875376E-2</v>
      </c>
      <c r="AO42" s="275">
        <f t="shared" si="2"/>
        <v>-1.55965181875376E-2</v>
      </c>
      <c r="AP42" s="267"/>
      <c r="AQ42" s="267"/>
    </row>
    <row r="43" spans="1:43" x14ac:dyDescent="0.3">
      <c r="D43"/>
      <c r="E43" s="88"/>
      <c r="F43" t="s">
        <v>159</v>
      </c>
      <c r="G43" t="s">
        <v>270</v>
      </c>
      <c r="J43" s="199">
        <f t="shared" ref="J43:AO43" si="3">INDEX($J23:$Y23,J$37)</f>
        <v>5.4534871722116378</v>
      </c>
      <c r="K43" s="199">
        <f t="shared" si="3"/>
        <v>0</v>
      </c>
      <c r="L43" s="199">
        <f t="shared" si="3"/>
        <v>10.122361344437579</v>
      </c>
      <c r="M43" s="199">
        <f t="shared" si="3"/>
        <v>10.122361344437579</v>
      </c>
      <c r="N43" s="199">
        <f t="shared" si="3"/>
        <v>10.122361344437579</v>
      </c>
      <c r="O43" s="199">
        <f t="shared" si="3"/>
        <v>10.122361344437579</v>
      </c>
      <c r="P43" s="199">
        <f t="shared" si="3"/>
        <v>10.122361344437579</v>
      </c>
      <c r="Q43" s="199">
        <f t="shared" si="3"/>
        <v>0</v>
      </c>
      <c r="R43" s="199">
        <f t="shared" si="3"/>
        <v>14.136159429500619</v>
      </c>
      <c r="S43" s="199">
        <f t="shared" si="3"/>
        <v>14.136159429500619</v>
      </c>
      <c r="T43" s="199">
        <f t="shared" si="3"/>
        <v>14.136159429500619</v>
      </c>
      <c r="U43" s="199">
        <f t="shared" si="3"/>
        <v>14.136159429500619</v>
      </c>
      <c r="V43" s="199">
        <f t="shared" si="3"/>
        <v>14.136159429500619</v>
      </c>
      <c r="W43" s="199">
        <f t="shared" si="3"/>
        <v>11.034791559616068</v>
      </c>
      <c r="X43" s="199">
        <f t="shared" si="3"/>
        <v>11.034791559616068</v>
      </c>
      <c r="Y43" s="199">
        <f t="shared" si="3"/>
        <v>11.034791559616068</v>
      </c>
      <c r="Z43" s="199">
        <f t="shared" si="3"/>
        <v>11.034791559616068</v>
      </c>
      <c r="AA43" s="199">
        <f t="shared" si="3"/>
        <v>11.034791559616068</v>
      </c>
      <c r="AB43" s="199">
        <f t="shared" si="3"/>
        <v>101.87138209179749</v>
      </c>
      <c r="AC43" s="199">
        <f t="shared" si="3"/>
        <v>101.87138209179749</v>
      </c>
      <c r="AD43" s="199">
        <f t="shared" si="3"/>
        <v>101.87138209179749</v>
      </c>
      <c r="AE43" s="199">
        <f t="shared" si="3"/>
        <v>101.87138209179749</v>
      </c>
      <c r="AF43" s="199">
        <f t="shared" si="3"/>
        <v>101.87138209179749</v>
      </c>
      <c r="AG43" s="199">
        <f t="shared" si="3"/>
        <v>0</v>
      </c>
      <c r="AH43" s="199">
        <f t="shared" si="3"/>
        <v>0</v>
      </c>
      <c r="AI43" s="199">
        <f t="shared" si="3"/>
        <v>0</v>
      </c>
      <c r="AJ43" s="199">
        <f t="shared" si="3"/>
        <v>0</v>
      </c>
      <c r="AK43" s="199">
        <f t="shared" si="3"/>
        <v>0</v>
      </c>
      <c r="AL43" s="199">
        <f t="shared" si="3"/>
        <v>0</v>
      </c>
      <c r="AM43" s="199">
        <f t="shared" si="3"/>
        <v>0</v>
      </c>
      <c r="AN43" s="199">
        <f t="shared" si="3"/>
        <v>63.755459127934301</v>
      </c>
      <c r="AO43" s="199">
        <f t="shared" si="3"/>
        <v>63.755459127934301</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3.9816938198221941</v>
      </c>
      <c r="S44" s="199">
        <f t="shared" si="4"/>
        <v>3.9816938198221941</v>
      </c>
      <c r="T44" s="199">
        <f t="shared" si="4"/>
        <v>3.9816938198221941</v>
      </c>
      <c r="U44" s="199">
        <f t="shared" si="4"/>
        <v>3.9816938198221941</v>
      </c>
      <c r="V44" s="199">
        <f t="shared" si="4"/>
        <v>3.9816938198221941</v>
      </c>
      <c r="W44" s="199">
        <f t="shared" si="4"/>
        <v>3.6103184247786979</v>
      </c>
      <c r="X44" s="199">
        <f t="shared" si="4"/>
        <v>3.6103184247786979</v>
      </c>
      <c r="Y44" s="199">
        <f t="shared" si="4"/>
        <v>3.6103184247786979</v>
      </c>
      <c r="Z44" s="199">
        <f t="shared" si="4"/>
        <v>3.6103184247786979</v>
      </c>
      <c r="AA44" s="199">
        <f t="shared" si="4"/>
        <v>3.6103184247786979</v>
      </c>
      <c r="AB44" s="199">
        <f t="shared" si="4"/>
        <v>3.0666881743347854</v>
      </c>
      <c r="AC44" s="199">
        <f t="shared" si="4"/>
        <v>3.0666881743347854</v>
      </c>
      <c r="AD44" s="199">
        <f t="shared" si="4"/>
        <v>3.0666881743347854</v>
      </c>
      <c r="AE44" s="199">
        <f t="shared" si="4"/>
        <v>3.0666881743347854</v>
      </c>
      <c r="AF44" s="199">
        <f t="shared" si="4"/>
        <v>3.0666881743347854</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8.2981300945898191</v>
      </c>
      <c r="S45" s="199">
        <f t="shared" si="5"/>
        <v>8.2981300945898191</v>
      </c>
      <c r="T45" s="199">
        <f t="shared" si="5"/>
        <v>8.2981300945898191</v>
      </c>
      <c r="U45" s="199">
        <f t="shared" si="5"/>
        <v>8.2981300945898191</v>
      </c>
      <c r="V45" s="199">
        <f t="shared" si="5"/>
        <v>8.2981300945898191</v>
      </c>
      <c r="W45" s="199">
        <f t="shared" si="5"/>
        <v>6.8753494006560389</v>
      </c>
      <c r="X45" s="199">
        <f t="shared" si="5"/>
        <v>6.8753494006560389</v>
      </c>
      <c r="Y45" s="199">
        <f t="shared" si="5"/>
        <v>6.8753494006560389</v>
      </c>
      <c r="Z45" s="199">
        <f t="shared" si="5"/>
        <v>6.8753494006560389</v>
      </c>
      <c r="AA45" s="199">
        <f t="shared" si="5"/>
        <v>6.8753494006560389</v>
      </c>
      <c r="AB45" s="199">
        <f t="shared" si="5"/>
        <v>6.7796855916892635</v>
      </c>
      <c r="AC45" s="199">
        <f t="shared" si="5"/>
        <v>6.7796855916892635</v>
      </c>
      <c r="AD45" s="199">
        <f t="shared" si="5"/>
        <v>6.7796855916892635</v>
      </c>
      <c r="AE45" s="199">
        <f t="shared" si="5"/>
        <v>6.7796855916892635</v>
      </c>
      <c r="AF45" s="199">
        <f t="shared" si="5"/>
        <v>6.7796855916892635</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0.117033715439345</v>
      </c>
      <c r="S46" s="276">
        <f t="shared" si="6"/>
        <v>0.117033715439345</v>
      </c>
      <c r="T46" s="276">
        <f t="shared" si="6"/>
        <v>0.117033715439345</v>
      </c>
      <c r="U46" s="276">
        <f t="shared" si="6"/>
        <v>0.117033715439345</v>
      </c>
      <c r="V46" s="276">
        <f t="shared" si="6"/>
        <v>0.117033715439345</v>
      </c>
      <c r="W46" s="276">
        <f t="shared" si="6"/>
        <v>7.9592984330242478E-2</v>
      </c>
      <c r="X46" s="276">
        <f t="shared" si="6"/>
        <v>7.9592984330242478E-2</v>
      </c>
      <c r="Y46" s="276">
        <f t="shared" si="6"/>
        <v>7.9592984330242478E-2</v>
      </c>
      <c r="Z46" s="276">
        <f t="shared" si="6"/>
        <v>7.9592984330242478E-2</v>
      </c>
      <c r="AA46" s="276">
        <f t="shared" si="6"/>
        <v>7.9592984330242478E-2</v>
      </c>
      <c r="AB46" s="276">
        <f t="shared" si="6"/>
        <v>5.325913516504404E-2</v>
      </c>
      <c r="AC46" s="276">
        <f t="shared" si="6"/>
        <v>5.325913516504404E-2</v>
      </c>
      <c r="AD46" s="276">
        <f t="shared" si="6"/>
        <v>5.325913516504404E-2</v>
      </c>
      <c r="AE46" s="276">
        <f t="shared" si="6"/>
        <v>5.325913516504404E-2</v>
      </c>
      <c r="AF46" s="276">
        <f t="shared" si="6"/>
        <v>5.325913516504404E-2</v>
      </c>
      <c r="AG46" s="276">
        <f t="shared" si="6"/>
        <v>0</v>
      </c>
      <c r="AH46" s="276">
        <f t="shared" si="6"/>
        <v>0</v>
      </c>
      <c r="AI46" s="276">
        <f t="shared" si="6"/>
        <v>0</v>
      </c>
      <c r="AJ46" s="276">
        <f t="shared" si="6"/>
        <v>0.12816320996290698</v>
      </c>
      <c r="AK46" s="276">
        <f t="shared" si="6"/>
        <v>0</v>
      </c>
      <c r="AL46" s="276">
        <f t="shared" si="6"/>
        <v>0.10282741481374987</v>
      </c>
      <c r="AM46" s="276">
        <f t="shared" si="6"/>
        <v>0</v>
      </c>
      <c r="AN46" s="276">
        <f t="shared" si="6"/>
        <v>7.8714520399531474E-2</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9.6510295533601642</v>
      </c>
      <c r="K48" s="199">
        <f t="shared" si="7"/>
        <v>0</v>
      </c>
      <c r="L48" s="199">
        <f t="shared" si="7"/>
        <v>9.5234905302665457E-2</v>
      </c>
      <c r="M48" s="199">
        <f t="shared" si="7"/>
        <v>9.5234905302665457E-2</v>
      </c>
      <c r="N48" s="199">
        <f t="shared" si="7"/>
        <v>9.5234905302665457E-2</v>
      </c>
      <c r="O48" s="199">
        <f t="shared" si="7"/>
        <v>9.5234905302665457E-2</v>
      </c>
      <c r="P48" s="199">
        <f t="shared" si="7"/>
        <v>9.5234905302665457E-2</v>
      </c>
      <c r="Q48" s="199">
        <f t="shared" si="7"/>
        <v>0</v>
      </c>
      <c r="R48" s="199">
        <f t="shared" si="7"/>
        <v>9.5234905302665457E-2</v>
      </c>
      <c r="S48" s="199">
        <f t="shared" si="7"/>
        <v>9.5234905302665457E-2</v>
      </c>
      <c r="T48" s="199">
        <f t="shared" si="7"/>
        <v>9.5234905302665457E-2</v>
      </c>
      <c r="U48" s="199">
        <f t="shared" si="7"/>
        <v>9.5234905302665457E-2</v>
      </c>
      <c r="V48" s="199">
        <f t="shared" si="7"/>
        <v>9.5234905302665457E-2</v>
      </c>
      <c r="W48" s="199">
        <f t="shared" si="7"/>
        <v>9.5234905302665457E-2</v>
      </c>
      <c r="X48" s="199">
        <f t="shared" si="7"/>
        <v>9.5234905302665457E-2</v>
      </c>
      <c r="Y48" s="199">
        <f t="shared" si="7"/>
        <v>9.5234905302665457E-2</v>
      </c>
      <c r="Z48" s="199">
        <f t="shared" si="7"/>
        <v>9.5234905302665457E-2</v>
      </c>
      <c r="AA48" s="199">
        <f t="shared" si="7"/>
        <v>9.5234905302665457E-2</v>
      </c>
      <c r="AB48" s="199">
        <f t="shared" si="7"/>
        <v>9.5234905302665457E-2</v>
      </c>
      <c r="AC48" s="199">
        <f t="shared" si="7"/>
        <v>9.5234905302665457E-2</v>
      </c>
      <c r="AD48" s="199">
        <f t="shared" si="7"/>
        <v>9.5234905302665457E-2</v>
      </c>
      <c r="AE48" s="199">
        <f t="shared" si="7"/>
        <v>9.5234905302665457E-2</v>
      </c>
      <c r="AF48" s="199">
        <f t="shared" si="7"/>
        <v>9.5234905302665457E-2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399026.03800899512</v>
      </c>
      <c r="K53" s="193">
        <f>INDEX('Volume adjustments'!$J$481:$Y$521, K$36 + 1 + $H53*$H$59, K$37)</f>
        <v>165.19190239670218</v>
      </c>
      <c r="L53" s="193">
        <f>INDEX('Volume adjustments'!$J$481:$Y$521, L$36 + 1 + $H53*$H$59, L$37)</f>
        <v>0</v>
      </c>
      <c r="M53" s="193">
        <f>INDEX('Volume adjustments'!$J$481:$Y$521, M$36 + 1 + $H53*$H$59, M$37)</f>
        <v>5316.2160111460344</v>
      </c>
      <c r="N53" s="193">
        <f>INDEX('Volume adjustments'!$J$481:$Y$521, N$36 + 1 + $H53*$H$59, N$37)</f>
        <v>24156.738502403292</v>
      </c>
      <c r="O53" s="193">
        <f>INDEX('Volume adjustments'!$J$481:$Y$521, O$36 + 1 + $H53*$H$59, O$37)</f>
        <v>24250.571106603114</v>
      </c>
      <c r="P53" s="193">
        <f>INDEX('Volume adjustments'!$J$481:$Y$521, P$36 + 1 + $H53*$H$59, P$37)</f>
        <v>78726.786507801211</v>
      </c>
      <c r="Q53" s="193">
        <f>INDEX('Volume adjustments'!$J$481:$Y$521, Q$36 + 1 + $H53*$H$59, Q$37)</f>
        <v>156.53988635874572</v>
      </c>
      <c r="R53" s="193">
        <f>INDEX('Volume adjustments'!$J$481:$Y$521, R$36 + 1 + $H53*$H$59, R$37)</f>
        <v>0</v>
      </c>
      <c r="S53" s="193">
        <f>INDEX('Volume adjustments'!$J$481:$Y$521, S$36 + 1 + $H53*$H$59, S$37)</f>
        <v>24928.245568196486</v>
      </c>
      <c r="T53" s="193">
        <f>INDEX('Volume adjustments'!$J$481:$Y$521, T$36 + 1 + $H53*$H$59, T$37)</f>
        <v>29842.25399860051</v>
      </c>
      <c r="U53" s="193">
        <f>INDEX('Volume adjustments'!$J$481:$Y$521, U$36 + 1 + $H53*$H$59, U$37)</f>
        <v>14757.280441547889</v>
      </c>
      <c r="V53" s="193">
        <f>INDEX('Volume adjustments'!$J$481:$Y$521, V$36 + 1 + $H53*$H$59, V$37)</f>
        <v>17147.051432751665</v>
      </c>
      <c r="W53" s="193">
        <f>INDEX('Volume adjustments'!$J$481:$Y$521, W$36 + 1 + $H53*$H$59, W$37)</f>
        <v>0</v>
      </c>
      <c r="X53" s="193">
        <f>INDEX('Volume adjustments'!$J$481:$Y$521, X$36 + 1 + $H53*$H$59, X$37)</f>
        <v>2567.3988613949082</v>
      </c>
      <c r="Y53" s="193">
        <f>INDEX('Volume adjustments'!$J$481:$Y$521, Y$36 + 1 + $H53*$H$59, Y$37)</f>
        <v>7088.8889805317885</v>
      </c>
      <c r="Z53" s="193">
        <f>INDEX('Volume adjustments'!$J$481:$Y$521, Z$36 + 1 + $H53*$H$59, Z$37)</f>
        <v>7381.3693423168888</v>
      </c>
      <c r="AA53" s="193">
        <f>INDEX('Volume adjustments'!$J$481:$Y$521, AA$36 + 1 + $H53*$H$59, AA$37)</f>
        <v>28433.680659807538</v>
      </c>
      <c r="AB53" s="193">
        <f>INDEX('Volume adjustments'!$J$481:$Y$521, AB$36 + 1 + $H53*$H$59, AB$37)</f>
        <v>0</v>
      </c>
      <c r="AC53" s="193">
        <f>INDEX('Volume adjustments'!$J$481:$Y$521, AC$36 + 1 + $H53*$H$59, AC$37)</f>
        <v>11924.138453313963</v>
      </c>
      <c r="AD53" s="193">
        <f>INDEX('Volume adjustments'!$J$481:$Y$521, AD$36 + 1 + $H53*$H$59, AD$37)</f>
        <v>38763.605786896165</v>
      </c>
      <c r="AE53" s="193">
        <f>INDEX('Volume adjustments'!$J$481:$Y$521, AE$36 + 1 + $H53*$H$59, AE$37)</f>
        <v>25456.049114762809</v>
      </c>
      <c r="AF53" s="193">
        <f>INDEX('Volume adjustments'!$J$481:$Y$521, AF$36 + 1 + $H53*$H$59, AF$37)</f>
        <v>69603.517290048883</v>
      </c>
      <c r="AG53" s="193">
        <f>INDEX('Volume adjustments'!$J$481:$Y$521, AG$36 + 1 + $H53*$H$59, AG$37)</f>
        <v>3174.8858245358156</v>
      </c>
      <c r="AH53" s="193">
        <f>INDEX('Volume adjustments'!$J$481:$Y$521, AH$36 + 1 + $H53*$H$59, AH$37)</f>
        <v>213.54227680548701</v>
      </c>
      <c r="AI53" s="193">
        <f>INDEX('Volume adjustments'!$J$481:$Y$521, AI$36 + 1 + $H53*$H$59, AI$37)</f>
        <v>0</v>
      </c>
      <c r="AJ53" s="193">
        <f>INDEX('Volume adjustments'!$J$481:$Y$521, AJ$36 + 1 + $H53*$H$59, AJ$37)</f>
        <v>3876.9550361278475</v>
      </c>
      <c r="AK53" s="193">
        <f>INDEX('Volume adjustments'!$J$481:$Y$521, AK$36 + 1 + $H53*$H$59, AK$37)</f>
        <v>0</v>
      </c>
      <c r="AL53" s="193">
        <f>INDEX('Volume adjustments'!$J$481:$Y$521, AL$36 + 1 + $H53*$H$59, AL$37)</f>
        <v>1009.8765349498661</v>
      </c>
      <c r="AM53" s="193">
        <f>INDEX('Volume adjustments'!$J$481:$Y$521, AM$36 + 1 + $H53*$H$59, AM$37)</f>
        <v>0</v>
      </c>
      <c r="AN53" s="193">
        <f>INDEX('Volume adjustments'!$J$481:$Y$521, AN$36 + 1 + $H53*$H$59, AN$37)</f>
        <v>33793.195270070777</v>
      </c>
      <c r="AO53" s="193">
        <f>INDEX('Volume adjustments'!$J$481:$Y$521, AO$36 + 1 + $H53*$H$59, AO$37)</f>
        <v>0</v>
      </c>
    </row>
    <row r="54" spans="4:41" x14ac:dyDescent="0.3">
      <c r="D54" s="88"/>
      <c r="F54" t="s">
        <v>157</v>
      </c>
      <c r="G54" t="s">
        <v>207</v>
      </c>
      <c r="H54" s="376">
        <v>1</v>
      </c>
      <c r="J54" s="339">
        <f>INDEX('Volume adjustments'!$J$481:$Y$521, J$36 + 1 + $H54*$H$59, J$37)</f>
        <v>2299749.8210967407</v>
      </c>
      <c r="K54" s="339">
        <f>INDEX('Volume adjustments'!$J$481:$Y$521, K$36 + 1 + $H54*$H$59, K$37)</f>
        <v>8808.4021048564955</v>
      </c>
      <c r="L54" s="339">
        <f>INDEX('Volume adjustments'!$J$481:$Y$521, L$36 + 1 + $H54*$H$59, L$37)</f>
        <v>0</v>
      </c>
      <c r="M54" s="339">
        <f>INDEX('Volume adjustments'!$J$481:$Y$521, M$36 + 1 + $H54*$H$59, M$37)</f>
        <v>43767.323576133618</v>
      </c>
      <c r="N54" s="339">
        <f>INDEX('Volume adjustments'!$J$481:$Y$521, N$36 + 1 + $H54*$H$59, N$37)</f>
        <v>198877.50767877654</v>
      </c>
      <c r="O54" s="339">
        <f>INDEX('Volume adjustments'!$J$481:$Y$521, O$36 + 1 + $H54*$H$59, O$37)</f>
        <v>199650.01239668007</v>
      </c>
      <c r="P54" s="339">
        <f>INDEX('Volume adjustments'!$J$481:$Y$521, P$36 + 1 + $H54*$H$59, P$37)</f>
        <v>648141.59770256083</v>
      </c>
      <c r="Q54" s="339">
        <f>INDEX('Volume adjustments'!$J$481:$Y$521, Q$36 + 1 + $H54*$H$59, Q$37)</f>
        <v>5298.9984308607791</v>
      </c>
      <c r="R54" s="339">
        <f>INDEX('Volume adjustments'!$J$481:$Y$521, R$36 + 1 + $H54*$H$59, R$37)</f>
        <v>0</v>
      </c>
      <c r="S54" s="339">
        <f>INDEX('Volume adjustments'!$J$481:$Y$521, S$36 + 1 + $H54*$H$59, S$37)</f>
        <v>178484.3871959073</v>
      </c>
      <c r="T54" s="339">
        <f>INDEX('Volume adjustments'!$J$481:$Y$521, T$36 + 1 + $H54*$H$59, T$37)</f>
        <v>213668.32266287648</v>
      </c>
      <c r="U54" s="339">
        <f>INDEX('Volume adjustments'!$J$481:$Y$521, U$36 + 1 + $H54*$H$59, U$37)</f>
        <v>105661.03214452509</v>
      </c>
      <c r="V54" s="339">
        <f>INDEX('Volume adjustments'!$J$481:$Y$521, V$36 + 1 + $H54*$H$59, V$37)</f>
        <v>122771.61498665414</v>
      </c>
      <c r="W54" s="339">
        <f>INDEX('Volume adjustments'!$J$481:$Y$521, W$36 + 1 + $H54*$H$59, W$37)</f>
        <v>0</v>
      </c>
      <c r="X54" s="339">
        <f>INDEX('Volume adjustments'!$J$481:$Y$521, X$36 + 1 + $H54*$H$59, X$37)</f>
        <v>18909.385664023524</v>
      </c>
      <c r="Y54" s="339">
        <f>INDEX('Volume adjustments'!$J$481:$Y$521, Y$36 + 1 + $H54*$H$59, Y$37)</f>
        <v>52211.028710004379</v>
      </c>
      <c r="Z54" s="339">
        <f>INDEX('Volume adjustments'!$J$481:$Y$521, Z$36 + 1 + $H54*$H$59, Z$37)</f>
        <v>54365.202743229085</v>
      </c>
      <c r="AA54" s="339">
        <f>INDEX('Volume adjustments'!$J$481:$Y$521, AA$36 + 1 + $H54*$H$59, AA$37)</f>
        <v>209419.51853630817</v>
      </c>
      <c r="AB54" s="339">
        <f>INDEX('Volume adjustments'!$J$481:$Y$521, AB$36 + 1 + $H54*$H$59, AB$37)</f>
        <v>0</v>
      </c>
      <c r="AC54" s="339">
        <f>INDEX('Volume adjustments'!$J$481:$Y$521, AC$36 + 1 + $H54*$H$59, AC$37)</f>
        <v>85561.156072811966</v>
      </c>
      <c r="AD54" s="339">
        <f>INDEX('Volume adjustments'!$J$481:$Y$521, AD$36 + 1 + $H54*$H$59, AD$37)</f>
        <v>278146.62985197158</v>
      </c>
      <c r="AE54" s="339">
        <f>INDEX('Volume adjustments'!$J$481:$Y$521, AE$36 + 1 + $H54*$H$59, AE$37)</f>
        <v>182658.81428943516</v>
      </c>
      <c r="AF54" s="339">
        <f>INDEX('Volume adjustments'!$J$481:$Y$521, AF$36 + 1 + $H54*$H$59, AF$37)</f>
        <v>499437.12322590669</v>
      </c>
      <c r="AG54" s="339">
        <f>INDEX('Volume adjustments'!$J$481:$Y$521, AG$36 + 1 + $H54*$H$59, AG$37)</f>
        <v>36715.225125918128</v>
      </c>
      <c r="AH54" s="339">
        <f>INDEX('Volume adjustments'!$J$481:$Y$521, AH$36 + 1 + $H54*$H$59, AH$37)</f>
        <v>2164.1290352000869</v>
      </c>
      <c r="AI54" s="339">
        <f>INDEX('Volume adjustments'!$J$481:$Y$521, AI$36 + 1 + $H54*$H$59, AI$37)</f>
        <v>0</v>
      </c>
      <c r="AJ54" s="339">
        <f>INDEX('Volume adjustments'!$J$481:$Y$521, AJ$36 + 1 + $H54*$H$59, AJ$37)</f>
        <v>33921.821572012675</v>
      </c>
      <c r="AK54" s="339">
        <f>INDEX('Volume adjustments'!$J$481:$Y$521, AK$36 + 1 + $H54*$H$59, AK$37)</f>
        <v>0</v>
      </c>
      <c r="AL54" s="339">
        <f>INDEX('Volume adjustments'!$J$481:$Y$521, AL$36 + 1 + $H54*$H$59, AL$37)</f>
        <v>8451.4185101941748</v>
      </c>
      <c r="AM54" s="339">
        <f>INDEX('Volume adjustments'!$J$481:$Y$521, AM$36 + 1 + $H54*$H$59, AM$37)</f>
        <v>0</v>
      </c>
      <c r="AN54" s="339">
        <f>INDEX('Volume adjustments'!$J$481:$Y$521, AN$36 + 1 + $H54*$H$59, AN$37)</f>
        <v>286631.34560870531</v>
      </c>
      <c r="AO54" s="339">
        <f>INDEX('Volume adjustments'!$J$481:$Y$521, AO$36 + 1 + $H54*$H$59, AO$37)</f>
        <v>0</v>
      </c>
    </row>
    <row r="55" spans="4:41" x14ac:dyDescent="0.3">
      <c r="D55" s="88"/>
      <c r="F55" t="s">
        <v>158</v>
      </c>
      <c r="G55" t="s">
        <v>207</v>
      </c>
      <c r="H55" s="376">
        <v>2</v>
      </c>
      <c r="J55" s="339">
        <f>INDEX('Volume adjustments'!$J$481:$Y$521, J$36 + 1 + $H55*$H$59, J$37)</f>
        <v>2603399.6497765584</v>
      </c>
      <c r="K55" s="339">
        <f>INDEX('Volume adjustments'!$J$481:$Y$521, K$36 + 1 + $H55*$H$59, K$37)</f>
        <v>28839.73547014036</v>
      </c>
      <c r="L55" s="339">
        <f>INDEX('Volume adjustments'!$J$481:$Y$521, L$36 + 1 + $H55*$H$59, L$37)</f>
        <v>0</v>
      </c>
      <c r="M55" s="339">
        <f>INDEX('Volume adjustments'!$J$481:$Y$521, M$36 + 1 + $H55*$H$59, M$37)</f>
        <v>34990.179975938627</v>
      </c>
      <c r="N55" s="339">
        <f>INDEX('Volume adjustments'!$J$481:$Y$521, N$36 + 1 + $H55*$H$59, N$37)</f>
        <v>158994.40994470881</v>
      </c>
      <c r="O55" s="339">
        <f>INDEX('Volume adjustments'!$J$481:$Y$521, O$36 + 1 + $H55*$H$59, O$37)</f>
        <v>159611.99578051365</v>
      </c>
      <c r="P55" s="339">
        <f>INDEX('Volume adjustments'!$J$481:$Y$521, P$36 + 1 + $H55*$H$59, P$37)</f>
        <v>518162.62225985603</v>
      </c>
      <c r="Q55" s="339">
        <f>INDEX('Volume adjustments'!$J$481:$Y$521, Q$36 + 1 + $H55*$H$59, Q$37)</f>
        <v>11694.133459357819</v>
      </c>
      <c r="R55" s="339">
        <f>INDEX('Volume adjustments'!$J$481:$Y$521, R$36 + 1 + $H55*$H$59, R$37)</f>
        <v>0</v>
      </c>
      <c r="S55" s="339">
        <f>INDEX('Volume adjustments'!$J$481:$Y$521, S$36 + 1 + $H55*$H$59, S$37)</f>
        <v>153039.27053251993</v>
      </c>
      <c r="T55" s="339">
        <f>INDEX('Volume adjustments'!$J$481:$Y$521, T$36 + 1 + $H55*$H$59, T$37)</f>
        <v>183207.30877341144</v>
      </c>
      <c r="U55" s="339">
        <f>INDEX('Volume adjustments'!$J$481:$Y$521, U$36 + 1 + $H55*$H$59, U$37)</f>
        <v>90597.769010252392</v>
      </c>
      <c r="V55" s="339">
        <f>INDEX('Volume adjustments'!$J$481:$Y$521, V$36 + 1 + $H55*$H$59, V$37)</f>
        <v>105269.03050088053</v>
      </c>
      <c r="W55" s="339">
        <f>INDEX('Volume adjustments'!$J$481:$Y$521, W$36 + 1 + $H55*$H$59, W$37)</f>
        <v>0</v>
      </c>
      <c r="X55" s="339">
        <f>INDEX('Volume adjustments'!$J$481:$Y$521, X$36 + 1 + $H55*$H$59, X$37)</f>
        <v>18359.097932091492</v>
      </c>
      <c r="Y55" s="339">
        <f>INDEX('Volume adjustments'!$J$481:$Y$521, Y$36 + 1 + $H55*$H$59, Y$37)</f>
        <v>50691.619825910944</v>
      </c>
      <c r="Z55" s="339">
        <f>INDEX('Volume adjustments'!$J$481:$Y$521, Z$36 + 1 + $H55*$H$59, Z$37)</f>
        <v>52783.104591277224</v>
      </c>
      <c r="AA55" s="339">
        <f>INDEX('Volume adjustments'!$J$481:$Y$521, AA$36 + 1 + $H55*$H$59, AA$37)</f>
        <v>203325.13800352876</v>
      </c>
      <c r="AB55" s="339">
        <f>INDEX('Volume adjustments'!$J$481:$Y$521, AB$36 + 1 + $H55*$H$59, AB$37)</f>
        <v>0</v>
      </c>
      <c r="AC55" s="339">
        <f>INDEX('Volume adjustments'!$J$481:$Y$521, AC$36 + 1 + $H55*$H$59, AC$37)</f>
        <v>94714.513826127746</v>
      </c>
      <c r="AD55" s="339">
        <f>INDEX('Volume adjustments'!$J$481:$Y$521, AD$36 + 1 + $H55*$H$59, AD$37)</f>
        <v>307902.83848416433</v>
      </c>
      <c r="AE55" s="339">
        <f>INDEX('Volume adjustments'!$J$481:$Y$521, AE$36 + 1 + $H55*$H$59, AE$37)</f>
        <v>202199.70820354798</v>
      </c>
      <c r="AF55" s="339">
        <f>INDEX('Volume adjustments'!$J$481:$Y$521, AF$36 + 1 + $H55*$H$59, AF$37)</f>
        <v>552867.05421331932</v>
      </c>
      <c r="AG55" s="339">
        <f>INDEX('Volume adjustments'!$J$481:$Y$521, AG$36 + 1 + $H55*$H$59, AG$37)</f>
        <v>77819.836298015449</v>
      </c>
      <c r="AH55" s="339">
        <f>INDEX('Volume adjustments'!$J$481:$Y$521, AH$36 + 1 + $H55*$H$59, AH$37)</f>
        <v>923.11710894429746</v>
      </c>
      <c r="AI55" s="339">
        <f>INDEX('Volume adjustments'!$J$481:$Y$521, AI$36 + 1 + $H55*$H$59, AI$37)</f>
        <v>0</v>
      </c>
      <c r="AJ55" s="339">
        <f>INDEX('Volume adjustments'!$J$481:$Y$521, AJ$36 + 1 + $H55*$H$59, AJ$37)</f>
        <v>29109.920451841823</v>
      </c>
      <c r="AK55" s="339">
        <f>INDEX('Volume adjustments'!$J$481:$Y$521, AK$36 + 1 + $H55*$H$59, AK$37)</f>
        <v>0</v>
      </c>
      <c r="AL55" s="339">
        <f>INDEX('Volume adjustments'!$J$481:$Y$521, AL$36 + 1 + $H55*$H$59, AL$37)</f>
        <v>8337.0882839597562</v>
      </c>
      <c r="AM55" s="339">
        <f>INDEX('Volume adjustments'!$J$481:$Y$521, AM$36 + 1 + $H55*$H$59, AM$37)</f>
        <v>0</v>
      </c>
      <c r="AN55" s="339">
        <f>INDEX('Volume adjustments'!$J$481:$Y$521, AN$36 + 1 + $H55*$H$59, AN$37)</f>
        <v>235380.55373712431</v>
      </c>
      <c r="AO55" s="339">
        <f>INDEX('Volume adjustments'!$J$481:$Y$521, AO$36 + 1 + $H55*$H$59, AO$37)</f>
        <v>0</v>
      </c>
    </row>
    <row r="56" spans="4:41" x14ac:dyDescent="0.3">
      <c r="D56" s="88"/>
      <c r="F56" t="s">
        <v>212</v>
      </c>
      <c r="G56" t="s">
        <v>212</v>
      </c>
      <c r="H56" s="376">
        <v>3</v>
      </c>
      <c r="J56" s="339">
        <f>INDEX('Volume adjustments'!$J$481:$Y$521, J$36 + 1 + $H56*$H$59, J$37)</f>
        <v>1513019.9903896833</v>
      </c>
      <c r="K56" s="339">
        <f>INDEX('Volume adjustments'!$J$481:$Y$521, K$36 + 1 + $H56*$H$59, K$37)</f>
        <v>0</v>
      </c>
      <c r="L56" s="339">
        <f>INDEX('Volume adjustments'!$J$481:$Y$521, L$36 + 1 + $H56*$H$59, L$37)</f>
        <v>0</v>
      </c>
      <c r="M56" s="339">
        <f>INDEX('Volume adjustments'!$J$481:$Y$521, M$36 + 1 + $H56*$H$59, M$37)</f>
        <v>63173.308723982394</v>
      </c>
      <c r="N56" s="339">
        <f>INDEX('Volume adjustments'!$J$481:$Y$521, N$36 + 1 + $H56*$H$59, N$37)</f>
        <v>48157.111043363169</v>
      </c>
      <c r="O56" s="339">
        <f>INDEX('Volume adjustments'!$J$481:$Y$521, O$36 + 1 + $H56*$H$59, O$37)</f>
        <v>20148.263305683238</v>
      </c>
      <c r="P56" s="339">
        <f>INDEX('Volume adjustments'!$J$481:$Y$521, P$36 + 1 + $H56*$H$59, P$37)</f>
        <v>20262.470713888182</v>
      </c>
      <c r="Q56" s="339">
        <f>INDEX('Volume adjustments'!$J$481:$Y$521, Q$36 + 1 + $H56*$H$59, Q$37)</f>
        <v>0</v>
      </c>
      <c r="R56" s="339">
        <f>INDEX('Volume adjustments'!$J$481:$Y$521, R$36 + 1 + $H56*$H$59, R$37)</f>
        <v>0</v>
      </c>
      <c r="S56" s="339">
        <f>INDEX('Volume adjustments'!$J$481:$Y$521, S$36 + 1 + $H56*$H$59, S$37)</f>
        <v>4235.710719485015</v>
      </c>
      <c r="T56" s="339">
        <f>INDEX('Volume adjustments'!$J$481:$Y$521, T$36 + 1 + $H56*$H$59, T$37)</f>
        <v>2663.4309009983167</v>
      </c>
      <c r="U56" s="339">
        <f>INDEX('Volume adjustments'!$J$481:$Y$521, U$36 + 1 + $H56*$H$59, U$37)</f>
        <v>867.80956765944313</v>
      </c>
      <c r="V56" s="339">
        <f>INDEX('Volume adjustments'!$J$481:$Y$521, V$36 + 1 + $H56*$H$59, V$37)</f>
        <v>546.68669307099356</v>
      </c>
      <c r="W56" s="339">
        <f>INDEX('Volume adjustments'!$J$481:$Y$521, W$36 + 1 + $H56*$H$59, W$37)</f>
        <v>0</v>
      </c>
      <c r="X56" s="339">
        <f>INDEX('Volume adjustments'!$J$481:$Y$521, X$36 + 1 + $H56*$H$59, X$37)</f>
        <v>326.52431701128489</v>
      </c>
      <c r="Y56" s="339">
        <f>INDEX('Volume adjustments'!$J$481:$Y$521, Y$36 + 1 + $H56*$H$59, Y$37)</f>
        <v>454.62972752013712</v>
      </c>
      <c r="Z56" s="339">
        <f>INDEX('Volume adjustments'!$J$481:$Y$521, Z$36 + 1 + $H56*$H$59, Z$37)</f>
        <v>300.51795547941265</v>
      </c>
      <c r="AA56" s="339">
        <f>INDEX('Volume adjustments'!$J$481:$Y$521, AA$36 + 1 + $H56*$H$59, AA$37)</f>
        <v>574.06635085169864</v>
      </c>
      <c r="AB56" s="339">
        <f>INDEX('Volume adjustments'!$J$481:$Y$521, AB$36 + 1 + $H56*$H$59, AB$37)</f>
        <v>0</v>
      </c>
      <c r="AC56" s="339">
        <f>INDEX('Volume adjustments'!$J$481:$Y$521, AC$36 + 1 + $H56*$H$59, AC$37)</f>
        <v>475.31346325049486</v>
      </c>
      <c r="AD56" s="339">
        <f>INDEX('Volume adjustments'!$J$481:$Y$521, AD$36 + 1 + $H56*$H$59, AD$37)</f>
        <v>411.72986399988042</v>
      </c>
      <c r="AE56" s="339">
        <f>INDEX('Volume adjustments'!$J$481:$Y$521, AE$36 + 1 + $H56*$H$59, AE$37)</f>
        <v>128.20955258730453</v>
      </c>
      <c r="AF56" s="339">
        <f>INDEX('Volume adjustments'!$J$481:$Y$521, AF$36 + 1 + $H56*$H$59, AF$37)</f>
        <v>137.59073936198536</v>
      </c>
      <c r="AG56" s="339">
        <f>INDEX('Volume adjustments'!$J$481:$Y$521, AG$36 + 1 + $H56*$H$59, AG$37)</f>
        <v>24.817415221871428</v>
      </c>
      <c r="AH56" s="339">
        <f>INDEX('Volume adjustments'!$J$481:$Y$521, AH$36 + 1 + $H56*$H$59, AH$37)</f>
        <v>0</v>
      </c>
      <c r="AI56" s="339">
        <f>INDEX('Volume adjustments'!$J$481:$Y$521, AI$36 + 1 + $H56*$H$59, AI$37)</f>
        <v>0</v>
      </c>
      <c r="AJ56" s="339">
        <f>INDEX('Volume adjustments'!$J$481:$Y$521, AJ$36 + 1 + $H56*$H$59, AJ$37)</f>
        <v>861.47352056885472</v>
      </c>
      <c r="AK56" s="339">
        <f>INDEX('Volume adjustments'!$J$481:$Y$521, AK$36 + 1 + $H56*$H$59, AK$37)</f>
        <v>0</v>
      </c>
      <c r="AL56" s="339">
        <f>INDEX('Volume adjustments'!$J$481:$Y$521, AL$36 + 1 + $H56*$H$59, AL$37)</f>
        <v>112.05985177756838</v>
      </c>
      <c r="AM56" s="339">
        <f>INDEX('Volume adjustments'!$J$481:$Y$521, AM$36 + 1 + $H56*$H$59, AM$37)</f>
        <v>0</v>
      </c>
      <c r="AN56" s="339">
        <f>INDEX('Volume adjustments'!$J$481:$Y$521, AN$36 + 1 + $H56*$H$59, AN$37)</f>
        <v>284.55473026719613</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165210.16273796596</v>
      </c>
      <c r="T57" s="339">
        <f>INDEX('Volume adjustments'!$J$481:$Y$521, T$36 + 1 + $H57*$H$59, T$37)</f>
        <v>285950.82975061133</v>
      </c>
      <c r="U57" s="339">
        <f>INDEX('Volume adjustments'!$J$481:$Y$521, U$36 + 1 + $H57*$H$59, U$37)</f>
        <v>152214.31360368821</v>
      </c>
      <c r="V57" s="339">
        <f>INDEX('Volume adjustments'!$J$481:$Y$521, V$36 + 1 + $H57*$H$59, V$37)</f>
        <v>177097.12557642654</v>
      </c>
      <c r="W57" s="339">
        <f>INDEX('Volume adjustments'!$J$481:$Y$521, W$36 + 1 + $H57*$H$59, W$37)</f>
        <v>0</v>
      </c>
      <c r="X57" s="339">
        <f>INDEX('Volume adjustments'!$J$481:$Y$521, X$36 + 1 + $H57*$H$59, X$37)</f>
        <v>17347.660683251139</v>
      </c>
      <c r="Y57" s="339">
        <f>INDEX('Volume adjustments'!$J$481:$Y$521, Y$36 + 1 + $H57*$H$59, Y$37)</f>
        <v>60081.352126057871</v>
      </c>
      <c r="Z57" s="339">
        <f>INDEX('Volume adjustments'!$J$481:$Y$521, Z$36 + 1 + $H57*$H$59, Z$37)</f>
        <v>63282.274526555928</v>
      </c>
      <c r="AA57" s="339">
        <f>INDEX('Volume adjustments'!$J$481:$Y$521, AA$36 + 1 + $H57*$H$59, AA$37)</f>
        <v>249778.95633525791</v>
      </c>
      <c r="AB57" s="339">
        <f>INDEX('Volume adjustments'!$J$481:$Y$521, AB$36 + 1 + $H57*$H$59, AB$37)</f>
        <v>0</v>
      </c>
      <c r="AC57" s="339">
        <f>INDEX('Volume adjustments'!$J$481:$Y$521, AC$36 + 1 + $H57*$H$59, AC$37)</f>
        <v>84971.714022137836</v>
      </c>
      <c r="AD57" s="339">
        <f>INDEX('Volume adjustments'!$J$481:$Y$521, AD$36 + 1 + $H57*$H$59, AD$37)</f>
        <v>268273.92369452317</v>
      </c>
      <c r="AE57" s="339">
        <f>INDEX('Volume adjustments'!$J$481:$Y$521, AE$36 + 1 + $H57*$H$59, AE$37)</f>
        <v>169678.82001318914</v>
      </c>
      <c r="AF57" s="339">
        <f>INDEX('Volume adjustments'!$J$481:$Y$521, AF$36 + 1 + $H57*$H$59, AF$37)</f>
        <v>431151.29122746451</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3872.6039664306363</v>
      </c>
      <c r="T58" s="339">
        <f>INDEX('Volume adjustments'!$J$481:$Y$521, T$36 + 1 + $H58*$H$59, T$37)</f>
        <v>6702.8220246518167</v>
      </c>
      <c r="U58" s="339">
        <f>INDEX('Volume adjustments'!$J$481:$Y$521, U$36 + 1 + $H58*$H$59, U$37)</f>
        <v>3567.9751465658355</v>
      </c>
      <c r="V58" s="339">
        <f>INDEX('Volume adjustments'!$J$481:$Y$521, V$36 + 1 + $H58*$H$59, V$37)</f>
        <v>4151.2399696530774</v>
      </c>
      <c r="W58" s="339">
        <f>INDEX('Volume adjustments'!$J$481:$Y$521, W$36 + 1 + $H58*$H$59, W$37)</f>
        <v>0</v>
      </c>
      <c r="X58" s="339">
        <f>INDEX('Volume adjustments'!$J$481:$Y$521, X$36 + 1 + $H58*$H$59, X$37)</f>
        <v>246.01251666723277</v>
      </c>
      <c r="Y58" s="339">
        <f>INDEX('Volume adjustments'!$J$481:$Y$521, Y$36 + 1 + $H58*$H$59, Y$37)</f>
        <v>852.03215068486224</v>
      </c>
      <c r="Z58" s="339">
        <f>INDEX('Volume adjustments'!$J$481:$Y$521, Z$36 + 1 + $H58*$H$59, Z$37)</f>
        <v>897.42541665779731</v>
      </c>
      <c r="AA58" s="339">
        <f>INDEX('Volume adjustments'!$J$481:$Y$521, AA$36 + 1 + $H58*$H$59, AA$37)</f>
        <v>3542.1922748281177</v>
      </c>
      <c r="AB58" s="339">
        <f>INDEX('Volume adjustments'!$J$481:$Y$521, AB$36 + 1 + $H58*$H$59, AB$37)</f>
        <v>0</v>
      </c>
      <c r="AC58" s="339">
        <f>INDEX('Volume adjustments'!$J$481:$Y$521, AC$36 + 1 + $H58*$H$59, AC$37)</f>
        <v>305.13158521214103</v>
      </c>
      <c r="AD58" s="339">
        <f>INDEX('Volume adjustments'!$J$481:$Y$521, AD$36 + 1 + $H58*$H$59, AD$37)</f>
        <v>963.36585121331063</v>
      </c>
      <c r="AE58" s="339">
        <f>INDEX('Volume adjustments'!$J$481:$Y$521, AE$36 + 1 + $H58*$H$59, AE$37)</f>
        <v>609.31296871404868</v>
      </c>
      <c r="AF58" s="339">
        <f>INDEX('Volume adjustments'!$J$481:$Y$521, AF$36 + 1 + $H58*$H$59, AF$37)</f>
        <v>1548.2549513385443</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37126.402709843438</v>
      </c>
      <c r="T59" s="195">
        <f>INDEX('Volume adjustments'!$J$481:$Y$521, T$36 + 1 + $H59*$H$59, T$37)</f>
        <v>44444.986579199343</v>
      </c>
      <c r="U59" s="195">
        <f>INDEX('Volume adjustments'!$J$481:$Y$521, U$36 + 1 + $H59*$H$59, U$37)</f>
        <v>21978.471572584145</v>
      </c>
      <c r="V59" s="195">
        <f>INDEX('Volume adjustments'!$J$481:$Y$521, V$36 + 1 + $H59*$H$59, V$37)</f>
        <v>25537.630999227749</v>
      </c>
      <c r="W59" s="195">
        <f>INDEX('Volume adjustments'!$J$481:$Y$521, W$36 + 1 + $H59*$H$59, W$37)</f>
        <v>0</v>
      </c>
      <c r="X59" s="195">
        <f>INDEX('Volume adjustments'!$J$481:$Y$521, X$36 + 1 + $H59*$H$59, X$37)</f>
        <v>3621.2764386819499</v>
      </c>
      <c r="Y59" s="195">
        <f>INDEX('Volume adjustments'!$J$481:$Y$521, Y$36 + 1 + $H59*$H$59, Y$37)</f>
        <v>9998.7684140689016</v>
      </c>
      <c r="Z59" s="195">
        <f>INDEX('Volume adjustments'!$J$481:$Y$521, Z$36 + 1 + $H59*$H$59, Z$37)</f>
        <v>10411.307446797966</v>
      </c>
      <c r="AA59" s="195">
        <f>INDEX('Volume adjustments'!$J$481:$Y$521, AA$36 + 1 + $H59*$H$59, AA$37)</f>
        <v>40105.267392081223</v>
      </c>
      <c r="AB59" s="195">
        <f>INDEX('Volume adjustments'!$J$481:$Y$521, AB$36 + 1 + $H59*$H$59, AB$37)</f>
        <v>0</v>
      </c>
      <c r="AC59" s="195">
        <f>INDEX('Volume adjustments'!$J$481:$Y$521, AC$36 + 1 + $H59*$H$59, AC$37)</f>
        <v>10477.693266455382</v>
      </c>
      <c r="AD59" s="195">
        <f>INDEX('Volume adjustments'!$J$481:$Y$521, AD$36 + 1 + $H59*$H$59, AD$37)</f>
        <v>34061.42698921905</v>
      </c>
      <c r="AE59" s="195">
        <f>INDEX('Volume adjustments'!$J$481:$Y$521, AE$36 + 1 + $H59*$H$59, AE$37)</f>
        <v>22368.129609077179</v>
      </c>
      <c r="AF59" s="195">
        <f>INDEX('Volume adjustments'!$J$481:$Y$521, AF$36 + 1 + $H59*$H$59, AF$37)</f>
        <v>61160.335171122817</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5862.5215537947424</v>
      </c>
      <c r="AK59" s="195">
        <f>INDEX('Volume adjustments'!$J$481:$Y$521, AK$36 + 1 + $H59*$H$59, AK$37)</f>
        <v>0</v>
      </c>
      <c r="AL59" s="195">
        <f>INDEX('Volume adjustments'!$J$481:$Y$521, AL$36 + 1 + $H59*$H$59, AL$37)</f>
        <v>1979.3774685899657</v>
      </c>
      <c r="AM59" s="195">
        <f>INDEX('Volume adjustments'!$J$481:$Y$521, AM$36 + 1 + $H59*$H$59, AM$37)</f>
        <v>0</v>
      </c>
      <c r="AN59" s="195">
        <f>INDEX('Volume adjustments'!$J$481:$Y$521, AN$36 + 1 + $H59*$H$59, AN$37)</f>
        <v>9248.3392978234697</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412459496.8321017</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53693143.915295348</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592045.11275566602</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358174307.80405068</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91049142.030920073</v>
      </c>
      <c r="I75" s="129"/>
      <c r="J75" s="322">
        <f t="shared" ref="J75:AO75" si="9">J53 * thousand * J40 / hundred</f>
        <v>57478043.771966659</v>
      </c>
      <c r="K75" s="322">
        <f t="shared" si="9"/>
        <v>23795.207561161838</v>
      </c>
      <c r="L75" s="322">
        <f t="shared" si="9"/>
        <v>0</v>
      </c>
      <c r="M75" s="322">
        <f t="shared" si="9"/>
        <v>693966.79089362069</v>
      </c>
      <c r="N75" s="322">
        <f t="shared" si="9"/>
        <v>3153365.9019538821</v>
      </c>
      <c r="O75" s="322">
        <f t="shared" si="9"/>
        <v>3165614.5974698686</v>
      </c>
      <c r="P75" s="322">
        <f t="shared" si="9"/>
        <v>10276816.30611703</v>
      </c>
      <c r="Q75" s="322">
        <f t="shared" si="9"/>
        <v>20434.362026574683</v>
      </c>
      <c r="R75" s="322">
        <f t="shared" si="9"/>
        <v>0</v>
      </c>
      <c r="S75" s="322">
        <f t="shared" si="9"/>
        <v>2095771.0351916244</v>
      </c>
      <c r="T75" s="322">
        <f t="shared" si="9"/>
        <v>2508902.2564383866</v>
      </c>
      <c r="U75" s="322">
        <f t="shared" si="9"/>
        <v>1240676.1969263412</v>
      </c>
      <c r="V75" s="322">
        <f t="shared" si="9"/>
        <v>1441589.3663030015</v>
      </c>
      <c r="W75" s="322">
        <f t="shared" si="9"/>
        <v>0</v>
      </c>
      <c r="X75" s="322">
        <f t="shared" si="9"/>
        <v>168240.02593114931</v>
      </c>
      <c r="Y75" s="322">
        <f t="shared" si="9"/>
        <v>464530.4178641449</v>
      </c>
      <c r="Z75" s="322">
        <f t="shared" si="9"/>
        <v>483696.47125420615</v>
      </c>
      <c r="AA75" s="322">
        <f t="shared" si="9"/>
        <v>1863241.1361766311</v>
      </c>
      <c r="AB75" s="322">
        <f t="shared" si="9"/>
        <v>0</v>
      </c>
      <c r="AC75" s="322">
        <f t="shared" si="9"/>
        <v>572723.6207079679</v>
      </c>
      <c r="AD75" s="322">
        <f t="shared" si="9"/>
        <v>1861839.5572048593</v>
      </c>
      <c r="AE75" s="322">
        <f t="shared" si="9"/>
        <v>1222669.5182220845</v>
      </c>
      <c r="AF75" s="322">
        <f t="shared" si="9"/>
        <v>3343099.2597446339</v>
      </c>
      <c r="AG75" s="322">
        <f t="shared" si="9"/>
        <v>1164415.6223096533</v>
      </c>
      <c r="AH75" s="322">
        <f t="shared" si="9"/>
        <v>-18291.365591886199</v>
      </c>
      <c r="AI75" s="322">
        <f t="shared" si="9"/>
        <v>0</v>
      </c>
      <c r="AJ75" s="322">
        <f t="shared" si="9"/>
        <v>-332087.87978651293</v>
      </c>
      <c r="AK75" s="322">
        <f t="shared" si="9"/>
        <v>0</v>
      </c>
      <c r="AL75" s="322">
        <f t="shared" si="9"/>
        <v>-78333.002848187301</v>
      </c>
      <c r="AM75" s="322">
        <f t="shared" si="9"/>
        <v>0</v>
      </c>
      <c r="AN75" s="322">
        <f t="shared" si="9"/>
        <v>-1765577.143116819</v>
      </c>
      <c r="AO75" s="322">
        <f t="shared" si="9"/>
        <v>0</v>
      </c>
    </row>
    <row r="76" spans="2:43" x14ac:dyDescent="0.3">
      <c r="D76" s="88"/>
      <c r="F76" t="s">
        <v>157</v>
      </c>
      <c r="G76" t="s">
        <v>277</v>
      </c>
      <c r="H76" s="89">
        <f t="shared" si="8"/>
        <v>28486132.00282567</v>
      </c>
      <c r="I76" s="63"/>
      <c r="J76" s="215">
        <f t="shared" ref="J76" si="10">J54 * thousand * J41 / hundred</f>
        <v>16643703.366709447</v>
      </c>
      <c r="K76" s="215">
        <f t="shared" ref="K76:AO76" si="11">K54 * thousand * K41 / hundred</f>
        <v>63747.99137847768</v>
      </c>
      <c r="L76" s="215">
        <f t="shared" si="11"/>
        <v>0</v>
      </c>
      <c r="M76" s="215">
        <f t="shared" si="11"/>
        <v>287048.10845302918</v>
      </c>
      <c r="N76" s="215">
        <f t="shared" si="11"/>
        <v>1304338.6647516056</v>
      </c>
      <c r="O76" s="215">
        <f t="shared" si="11"/>
        <v>1309405.1390051553</v>
      </c>
      <c r="P76" s="215">
        <f t="shared" si="11"/>
        <v>4250838.397888612</v>
      </c>
      <c r="Q76" s="215">
        <f t="shared" si="11"/>
        <v>34753.495347465039</v>
      </c>
      <c r="R76" s="215">
        <f t="shared" si="11"/>
        <v>0</v>
      </c>
      <c r="S76" s="215">
        <f t="shared" si="11"/>
        <v>682917.37789852638</v>
      </c>
      <c r="T76" s="215">
        <f t="shared" si="11"/>
        <v>817538.23370974278</v>
      </c>
      <c r="U76" s="215">
        <f t="shared" si="11"/>
        <v>404280.48722821608</v>
      </c>
      <c r="V76" s="215">
        <f t="shared" si="11"/>
        <v>469749.03914159164</v>
      </c>
      <c r="W76" s="215">
        <f t="shared" si="11"/>
        <v>0</v>
      </c>
      <c r="X76" s="215">
        <f t="shared" si="11"/>
        <v>44659.605393361177</v>
      </c>
      <c r="Y76" s="215">
        <f t="shared" si="11"/>
        <v>123310.40155400294</v>
      </c>
      <c r="Z76" s="215">
        <f t="shared" si="11"/>
        <v>128398.06352154513</v>
      </c>
      <c r="AA76" s="215">
        <f t="shared" si="11"/>
        <v>494600.57696602994</v>
      </c>
      <c r="AB76" s="215">
        <f t="shared" si="11"/>
        <v>0</v>
      </c>
      <c r="AC76" s="215">
        <f t="shared" si="11"/>
        <v>112429.80922895262</v>
      </c>
      <c r="AD76" s="215">
        <f t="shared" si="11"/>
        <v>365492.63669744047</v>
      </c>
      <c r="AE76" s="215">
        <f t="shared" si="11"/>
        <v>240018.91263684694</v>
      </c>
      <c r="AF76" s="215">
        <f t="shared" si="11"/>
        <v>656274.68191711837</v>
      </c>
      <c r="AG76" s="215">
        <f t="shared" si="11"/>
        <v>728341.2148207858</v>
      </c>
      <c r="AH76" s="215">
        <f t="shared" si="11"/>
        <v>-9313.5241171493763</v>
      </c>
      <c r="AI76" s="215">
        <f t="shared" si="11"/>
        <v>0</v>
      </c>
      <c r="AJ76" s="215">
        <f t="shared" si="11"/>
        <v>-145985.61276609288</v>
      </c>
      <c r="AK76" s="215">
        <f t="shared" si="11"/>
        <v>0</v>
      </c>
      <c r="AL76" s="215">
        <f t="shared" si="11"/>
        <v>-31016.248513069164</v>
      </c>
      <c r="AM76" s="215">
        <f t="shared" si="11"/>
        <v>0</v>
      </c>
      <c r="AN76" s="215">
        <f t="shared" si="11"/>
        <v>-489398.81602596305</v>
      </c>
      <c r="AO76" s="215">
        <f t="shared" si="11"/>
        <v>0</v>
      </c>
    </row>
    <row r="77" spans="2:43" x14ac:dyDescent="0.3">
      <c r="D77" s="88"/>
      <c r="F77" t="s">
        <v>158</v>
      </c>
      <c r="G77" t="s">
        <v>277</v>
      </c>
      <c r="H77" s="89">
        <f t="shared" si="8"/>
        <v>3537966.6077918769</v>
      </c>
      <c r="I77" s="63"/>
      <c r="J77" s="215">
        <f t="shared" ref="J77" si="12">J55 * thousand * J42 / hundred</f>
        <v>1790883.9503118584</v>
      </c>
      <c r="K77" s="215">
        <f t="shared" ref="K77:AO77" si="13">K55 * thousand * K42 / hundred</f>
        <v>19838.913087795347</v>
      </c>
      <c r="L77" s="215">
        <f t="shared" si="13"/>
        <v>0</v>
      </c>
      <c r="M77" s="215">
        <f t="shared" si="13"/>
        <v>21812.633633055153</v>
      </c>
      <c r="N77" s="215">
        <f t="shared" si="13"/>
        <v>99116.003867730324</v>
      </c>
      <c r="O77" s="215">
        <f t="shared" si="13"/>
        <v>99501.002561153437</v>
      </c>
      <c r="P77" s="215">
        <f t="shared" si="13"/>
        <v>323018.95701793092</v>
      </c>
      <c r="Q77" s="215">
        <f t="shared" si="13"/>
        <v>7290.0410623904281</v>
      </c>
      <c r="R77" s="215">
        <f t="shared" si="13"/>
        <v>0</v>
      </c>
      <c r="S77" s="215">
        <f t="shared" si="13"/>
        <v>55274.221118276335</v>
      </c>
      <c r="T77" s="215">
        <f t="shared" si="13"/>
        <v>66170.214092036069</v>
      </c>
      <c r="U77" s="215">
        <f t="shared" si="13"/>
        <v>32721.804669286517</v>
      </c>
      <c r="V77" s="215">
        <f t="shared" si="13"/>
        <v>38020.7227110104</v>
      </c>
      <c r="W77" s="215">
        <f t="shared" si="13"/>
        <v>0</v>
      </c>
      <c r="X77" s="215">
        <f t="shared" si="13"/>
        <v>4013.6872446288685</v>
      </c>
      <c r="Y77" s="215">
        <f t="shared" si="13"/>
        <v>11082.260613098442</v>
      </c>
      <c r="Z77" s="215">
        <f t="shared" si="13"/>
        <v>11539.503433858859</v>
      </c>
      <c r="AA77" s="215">
        <f t="shared" si="13"/>
        <v>44451.177064133597</v>
      </c>
      <c r="AB77" s="215">
        <f t="shared" si="13"/>
        <v>0</v>
      </c>
      <c r="AC77" s="215">
        <f t="shared" si="13"/>
        <v>11121.356970983536</v>
      </c>
      <c r="AD77" s="215">
        <f t="shared" si="13"/>
        <v>36153.882238657068</v>
      </c>
      <c r="AE77" s="215">
        <f t="shared" si="13"/>
        <v>23742.244388103838</v>
      </c>
      <c r="AF77" s="215">
        <f t="shared" si="13"/>
        <v>64917.525509234911</v>
      </c>
      <c r="AG77" s="215">
        <f t="shared" si="13"/>
        <v>829189.3267826346</v>
      </c>
      <c r="AH77" s="215">
        <f t="shared" si="13"/>
        <v>-377.61124688110363</v>
      </c>
      <c r="AI77" s="215">
        <f t="shared" si="13"/>
        <v>0</v>
      </c>
      <c r="AJ77" s="215">
        <f t="shared" si="13"/>
        <v>-11907.734405443702</v>
      </c>
      <c r="AK77" s="215">
        <f t="shared" si="13"/>
        <v>0</v>
      </c>
      <c r="AL77" s="215">
        <f t="shared" si="13"/>
        <v>-2896.3040601191083</v>
      </c>
      <c r="AM77" s="215">
        <f t="shared" si="13"/>
        <v>0</v>
      </c>
      <c r="AN77" s="215">
        <f t="shared" si="13"/>
        <v>-36711.17087353731</v>
      </c>
      <c r="AO77" s="215">
        <f t="shared" si="13"/>
        <v>0</v>
      </c>
    </row>
    <row r="78" spans="2:43" x14ac:dyDescent="0.3">
      <c r="D78" s="88"/>
      <c r="F78" t="s">
        <v>159</v>
      </c>
      <c r="G78" t="s">
        <v>277</v>
      </c>
      <c r="H78" s="89">
        <f t="shared" si="8"/>
        <v>36713857.977632962</v>
      </c>
      <c r="I78" s="63"/>
      <c r="J78" s="322">
        <f t="shared" ref="J78" si="14">J56 * J43 * days_in_year / hundred</f>
        <v>30117008.147448182</v>
      </c>
      <c r="K78" s="322">
        <f t="shared" ref="K78:AO78" si="15">K56 * K43 * days_in_year / hundred</f>
        <v>0</v>
      </c>
      <c r="L78" s="322">
        <f t="shared" si="15"/>
        <v>0</v>
      </c>
      <c r="M78" s="322">
        <f t="shared" si="15"/>
        <v>2334040.1625316911</v>
      </c>
      <c r="N78" s="322">
        <f t="shared" si="15"/>
        <v>1779242.429390715</v>
      </c>
      <c r="O78" s="322">
        <f t="shared" si="15"/>
        <v>744410.20599694317</v>
      </c>
      <c r="P78" s="322">
        <f t="shared" si="15"/>
        <v>748629.78358426993</v>
      </c>
      <c r="Q78" s="322">
        <f t="shared" si="15"/>
        <v>0</v>
      </c>
      <c r="R78" s="322">
        <f t="shared" si="15"/>
        <v>0</v>
      </c>
      <c r="S78" s="322">
        <f t="shared" si="15"/>
        <v>218549.88940178006</v>
      </c>
      <c r="T78" s="322">
        <f t="shared" si="15"/>
        <v>137424.996037793</v>
      </c>
      <c r="U78" s="322">
        <f t="shared" si="15"/>
        <v>44776.354570511605</v>
      </c>
      <c r="V78" s="322">
        <f t="shared" si="15"/>
        <v>28207.383417018835</v>
      </c>
      <c r="W78" s="322">
        <f t="shared" si="15"/>
        <v>0</v>
      </c>
      <c r="X78" s="322">
        <f t="shared" si="15"/>
        <v>13151.416387384177</v>
      </c>
      <c r="Y78" s="322">
        <f t="shared" si="15"/>
        <v>18311.116621962628</v>
      </c>
      <c r="Z78" s="322">
        <f t="shared" si="15"/>
        <v>12103.958445026143</v>
      </c>
      <c r="AA78" s="322">
        <f t="shared" si="15"/>
        <v>23121.664209088409</v>
      </c>
      <c r="AB78" s="322">
        <f t="shared" si="15"/>
        <v>0</v>
      </c>
      <c r="AC78" s="322">
        <f t="shared" si="15"/>
        <v>176736.06391280849</v>
      </c>
      <c r="AD78" s="322">
        <f t="shared" si="15"/>
        <v>153093.73957359506</v>
      </c>
      <c r="AE78" s="322">
        <f t="shared" si="15"/>
        <v>47672.227765954922</v>
      </c>
      <c r="AF78" s="322">
        <f t="shared" si="15"/>
        <v>51160.439553707714</v>
      </c>
      <c r="AG78" s="322">
        <f t="shared" si="15"/>
        <v>0</v>
      </c>
      <c r="AH78" s="322">
        <f t="shared" si="15"/>
        <v>0</v>
      </c>
      <c r="AI78" s="322">
        <f t="shared" si="15"/>
        <v>0</v>
      </c>
      <c r="AJ78" s="322">
        <f t="shared" si="15"/>
        <v>0</v>
      </c>
      <c r="AK78" s="322">
        <f t="shared" si="15"/>
        <v>0</v>
      </c>
      <c r="AL78" s="322">
        <f t="shared" si="15"/>
        <v>0</v>
      </c>
      <c r="AM78" s="322">
        <f t="shared" si="15"/>
        <v>0</v>
      </c>
      <c r="AN78" s="322">
        <f t="shared" si="15"/>
        <v>66217.99878451867</v>
      </c>
      <c r="AO78" s="322">
        <f t="shared" si="15"/>
        <v>0</v>
      </c>
    </row>
    <row r="79" spans="2:43" x14ac:dyDescent="0.3">
      <c r="D79" s="88"/>
      <c r="F79" t="s">
        <v>736</v>
      </c>
      <c r="G79" t="s">
        <v>277</v>
      </c>
      <c r="H79" s="89">
        <f t="shared" si="8"/>
        <v>27167859.564983934</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2401029.4364013597</v>
      </c>
      <c r="T79" s="401">
        <f t="shared" si="17"/>
        <v>4155775.5783072873</v>
      </c>
      <c r="U79" s="401">
        <f t="shared" si="17"/>
        <v>2212158.3899396313</v>
      </c>
      <c r="V79" s="401">
        <f t="shared" si="17"/>
        <v>2573784.8360181539</v>
      </c>
      <c r="W79" s="401">
        <f t="shared" si="17"/>
        <v>0</v>
      </c>
      <c r="X79" s="401">
        <f t="shared" si="17"/>
        <v>228601.61331915972</v>
      </c>
      <c r="Y79" s="401">
        <f t="shared" si="17"/>
        <v>791731.76586708089</v>
      </c>
      <c r="Z79" s="401">
        <f t="shared" si="17"/>
        <v>833912.44015071914</v>
      </c>
      <c r="AA79" s="401">
        <f t="shared" si="17"/>
        <v>3291502.7238539904</v>
      </c>
      <c r="AB79" s="401">
        <f t="shared" si="17"/>
        <v>0</v>
      </c>
      <c r="AC79" s="401">
        <f t="shared" si="17"/>
        <v>951123.38948796282</v>
      </c>
      <c r="AD79" s="401">
        <f t="shared" si="17"/>
        <v>3002900.5128588118</v>
      </c>
      <c r="AE79" s="401">
        <f t="shared" si="17"/>
        <v>1899284.9123087761</v>
      </c>
      <c r="AF79" s="401">
        <f t="shared" si="17"/>
        <v>4826053.9664710006</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777859.97331290296</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117294.10604167078</v>
      </c>
      <c r="T80" s="323">
        <f t="shared" si="19"/>
        <v>203016.24543926585</v>
      </c>
      <c r="U80" s="323">
        <f t="shared" si="19"/>
        <v>108067.45508270265</v>
      </c>
      <c r="V80" s="323">
        <f t="shared" si="19"/>
        <v>125733.48202545449</v>
      </c>
      <c r="W80" s="323">
        <f t="shared" si="19"/>
        <v>0</v>
      </c>
      <c r="X80" s="323">
        <f t="shared" si="19"/>
        <v>6173.6903329300903</v>
      </c>
      <c r="Y80" s="323">
        <f t="shared" si="19"/>
        <v>21381.768388410579</v>
      </c>
      <c r="Z80" s="323">
        <f t="shared" si="19"/>
        <v>22520.913547013643</v>
      </c>
      <c r="AA80" s="323">
        <f t="shared" si="19"/>
        <v>88891.40479818001</v>
      </c>
      <c r="AB80" s="323">
        <f t="shared" si="19"/>
        <v>0</v>
      </c>
      <c r="AC80" s="323">
        <f t="shared" si="19"/>
        <v>7550.7411731870097</v>
      </c>
      <c r="AD80" s="323">
        <f t="shared" si="19"/>
        <v>23839.309170636661</v>
      </c>
      <c r="AE80" s="323">
        <f t="shared" si="19"/>
        <v>15077.968795093169</v>
      </c>
      <c r="AF80" s="323">
        <f t="shared" si="19"/>
        <v>38312.88851835794</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287160.55018186138</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43450.408500303442</v>
      </c>
      <c r="T81" s="323">
        <f t="shared" si="21"/>
        <v>52015.619120155236</v>
      </c>
      <c r="U81" s="323">
        <f t="shared" si="21"/>
        <v>25722.22187817546</v>
      </c>
      <c r="V81" s="323">
        <f t="shared" si="21"/>
        <v>29887.638393586163</v>
      </c>
      <c r="W81" s="323">
        <f t="shared" si="21"/>
        <v>0</v>
      </c>
      <c r="X81" s="323">
        <f t="shared" si="21"/>
        <v>2882.2819883948873</v>
      </c>
      <c r="Y81" s="323">
        <f t="shared" si="21"/>
        <v>7958.3181770270958</v>
      </c>
      <c r="Z81" s="323">
        <f t="shared" si="21"/>
        <v>8286.6703047032715</v>
      </c>
      <c r="AA81" s="323">
        <f t="shared" si="21"/>
        <v>31920.979190981052</v>
      </c>
      <c r="AB81" s="323">
        <f t="shared" si="21"/>
        <v>0</v>
      </c>
      <c r="AC81" s="323">
        <f t="shared" si="21"/>
        <v>5580.3288189601899</v>
      </c>
      <c r="AD81" s="323">
        <f t="shared" si="21"/>
        <v>18140.821439330961</v>
      </c>
      <c r="AE81" s="323">
        <f t="shared" si="21"/>
        <v>11913.07238239065</v>
      </c>
      <c r="AF81" s="323">
        <f t="shared" si="21"/>
        <v>32573.465576182272</v>
      </c>
      <c r="AG81" s="323">
        <f t="shared" si="21"/>
        <v>0</v>
      </c>
      <c r="AH81" s="323">
        <f t="shared" si="21"/>
        <v>0</v>
      </c>
      <c r="AI81" s="323">
        <f t="shared" si="21"/>
        <v>0</v>
      </c>
      <c r="AJ81" s="323">
        <f t="shared" si="21"/>
        <v>7513.5958081106328</v>
      </c>
      <c r="AK81" s="323">
        <f t="shared" si="21"/>
        <v>0</v>
      </c>
      <c r="AL81" s="323">
        <f t="shared" si="21"/>
        <v>2035.3426803569057</v>
      </c>
      <c r="AM81" s="323">
        <f t="shared" si="21"/>
        <v>0</v>
      </c>
      <c r="AN81" s="323">
        <f t="shared" si="21"/>
        <v>7279.7859232031415</v>
      </c>
      <c r="AO81" s="323">
        <f t="shared" si="21"/>
        <v>0</v>
      </c>
    </row>
    <row r="82" spans="1:43" x14ac:dyDescent="0.3">
      <c r="D82"/>
      <c r="E82" s="29"/>
      <c r="F82" s="108" t="s">
        <v>100</v>
      </c>
      <c r="G82" s="152" t="s">
        <v>277</v>
      </c>
      <c r="H82" s="167">
        <f t="shared" si="8"/>
        <v>188019978.70764935</v>
      </c>
      <c r="I82" s="168"/>
      <c r="J82" s="216">
        <f t="shared" ref="J82" si="22">SUM(J75:J81)</f>
        <v>106029639.23643614</v>
      </c>
      <c r="K82" s="216">
        <f t="shared" ref="K82:AO82" si="23">SUM(K75:K81)</f>
        <v>107382.11202743487</v>
      </c>
      <c r="L82" s="216">
        <f t="shared" si="23"/>
        <v>0</v>
      </c>
      <c r="M82" s="216">
        <f t="shared" si="23"/>
        <v>3336867.695511396</v>
      </c>
      <c r="N82" s="216">
        <f t="shared" si="23"/>
        <v>6336062.9999639336</v>
      </c>
      <c r="O82" s="216">
        <f t="shared" si="23"/>
        <v>5318930.9450331219</v>
      </c>
      <c r="P82" s="216">
        <f t="shared" si="23"/>
        <v>15599303.444607843</v>
      </c>
      <c r="Q82" s="216">
        <f t="shared" si="23"/>
        <v>62477.898436430158</v>
      </c>
      <c r="R82" s="216">
        <f t="shared" si="23"/>
        <v>0</v>
      </c>
      <c r="S82" s="216">
        <f t="shared" si="23"/>
        <v>5614286.4745535413</v>
      </c>
      <c r="T82" s="216">
        <f t="shared" si="23"/>
        <v>7940843.1431446671</v>
      </c>
      <c r="U82" s="216">
        <f t="shared" si="23"/>
        <v>4068402.9102948648</v>
      </c>
      <c r="V82" s="216">
        <f t="shared" si="23"/>
        <v>4706972.4680098174</v>
      </c>
      <c r="W82" s="216">
        <f t="shared" si="23"/>
        <v>0</v>
      </c>
      <c r="X82" s="216">
        <f t="shared" si="23"/>
        <v>467722.32059700822</v>
      </c>
      <c r="Y82" s="216">
        <f t="shared" si="23"/>
        <v>1438306.0490857274</v>
      </c>
      <c r="Z82" s="216">
        <f t="shared" si="23"/>
        <v>1500458.0206570723</v>
      </c>
      <c r="AA82" s="216">
        <f t="shared" si="23"/>
        <v>5837729.6622590348</v>
      </c>
      <c r="AB82" s="216">
        <f t="shared" si="23"/>
        <v>0</v>
      </c>
      <c r="AC82" s="216">
        <f t="shared" si="23"/>
        <v>1837265.3103008226</v>
      </c>
      <c r="AD82" s="216">
        <f t="shared" si="23"/>
        <v>5461460.4591833316</v>
      </c>
      <c r="AE82" s="216">
        <f t="shared" si="23"/>
        <v>3460378.8564992505</v>
      </c>
      <c r="AF82" s="216">
        <f t="shared" si="23"/>
        <v>9012392.2272902373</v>
      </c>
      <c r="AG82" s="216">
        <f t="shared" si="23"/>
        <v>2721946.1639130735</v>
      </c>
      <c r="AH82" s="216">
        <f t="shared" si="23"/>
        <v>-27982.500955916679</v>
      </c>
      <c r="AI82" s="216">
        <f t="shared" si="23"/>
        <v>0</v>
      </c>
      <c r="AJ82" s="216">
        <f t="shared" si="23"/>
        <v>-482467.63114993891</v>
      </c>
      <c r="AK82" s="216">
        <f t="shared" si="23"/>
        <v>0</v>
      </c>
      <c r="AL82" s="216">
        <f t="shared" si="23"/>
        <v>-110210.21274101867</v>
      </c>
      <c r="AM82" s="216">
        <f t="shared" si="23"/>
        <v>0</v>
      </c>
      <c r="AN82" s="216">
        <f t="shared" si="23"/>
        <v>-2218189.3453085972</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170154329.09640133</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1513019.9903896833</v>
      </c>
      <c r="K114" s="360"/>
      <c r="L114" s="360"/>
      <c r="M114" s="361">
        <f t="shared" ref="M114:P121" si="51">SUMIF($J104:$AO104, M104, $J$56:$AO$56)</f>
        <v>63173.308723982394</v>
      </c>
      <c r="N114" s="361">
        <f t="shared" si="51"/>
        <v>48157.111043363169</v>
      </c>
      <c r="O114" s="361">
        <f t="shared" si="51"/>
        <v>20148.263305683238</v>
      </c>
      <c r="P114" s="361">
        <f t="shared" si="51"/>
        <v>20262.470713888182</v>
      </c>
      <c r="Q114" s="360"/>
      <c r="R114" s="360"/>
      <c r="S114" s="361">
        <f t="shared" ref="S114:V121" si="52">SUMIF($J104:$AO104, S104, $J$56:$AO$56)</f>
        <v>4562.2350364963004</v>
      </c>
      <c r="T114" s="361">
        <f t="shared" si="52"/>
        <v>3118.060628518454</v>
      </c>
      <c r="U114" s="361">
        <f t="shared" si="52"/>
        <v>1168.3275231388557</v>
      </c>
      <c r="V114" s="361">
        <f t="shared" si="52"/>
        <v>1120.7530439226921</v>
      </c>
      <c r="W114" s="360"/>
      <c r="X114" s="361">
        <f t="shared" ref="X114:AA121" si="53">SUMIF($J104:$AO104, X104, $J$56:$AO$56)</f>
        <v>4562.2350364963004</v>
      </c>
      <c r="Y114" s="361">
        <f t="shared" si="53"/>
        <v>3118.060628518454</v>
      </c>
      <c r="Z114" s="361">
        <f t="shared" si="53"/>
        <v>1168.3275231388557</v>
      </c>
      <c r="AA114" s="361">
        <f t="shared" si="53"/>
        <v>1120.7530439226921</v>
      </c>
      <c r="AB114" s="360"/>
      <c r="AC114" s="361">
        <f t="shared" ref="AC114:AG121" si="54">SUMIF($J104:$AO104, AC104, $J$56:$AO$56)</f>
        <v>475.31346325049486</v>
      </c>
      <c r="AD114" s="361">
        <f t="shared" si="54"/>
        <v>411.72986399988042</v>
      </c>
      <c r="AE114" s="361">
        <f t="shared" si="54"/>
        <v>128.20955258730453</v>
      </c>
      <c r="AF114" s="361">
        <f t="shared" si="54"/>
        <v>137.59073936198536</v>
      </c>
      <c r="AG114" s="361">
        <f t="shared" si="54"/>
        <v>24.817415221871428</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1513019.9903896833</v>
      </c>
      <c r="K115" s="356"/>
      <c r="L115" s="356"/>
      <c r="M115" s="362">
        <f t="shared" si="51"/>
        <v>111330.41976734556</v>
      </c>
      <c r="N115" s="362">
        <f t="shared" si="51"/>
        <v>111330.41976734556</v>
      </c>
      <c r="O115" s="362">
        <f t="shared" si="51"/>
        <v>20148.263305683238</v>
      </c>
      <c r="P115" s="362">
        <f t="shared" si="51"/>
        <v>20262.470713888182</v>
      </c>
      <c r="Q115" s="356"/>
      <c r="R115" s="356"/>
      <c r="S115" s="362">
        <f t="shared" si="52"/>
        <v>7680.2956650147526</v>
      </c>
      <c r="T115" s="362">
        <f t="shared" si="52"/>
        <v>7680.2956650147526</v>
      </c>
      <c r="U115" s="362">
        <f t="shared" si="52"/>
        <v>1168.3275231388557</v>
      </c>
      <c r="V115" s="362">
        <f t="shared" si="52"/>
        <v>1120.7530439226921</v>
      </c>
      <c r="W115" s="356"/>
      <c r="X115" s="362">
        <f t="shared" si="53"/>
        <v>7680.2956650147526</v>
      </c>
      <c r="Y115" s="362">
        <f t="shared" si="53"/>
        <v>7680.2956650147526</v>
      </c>
      <c r="Z115" s="362">
        <f t="shared" si="53"/>
        <v>1168.3275231388557</v>
      </c>
      <c r="AA115" s="362">
        <f t="shared" si="53"/>
        <v>1120.7530439226921</v>
      </c>
      <c r="AB115" s="356"/>
      <c r="AC115" s="362">
        <f t="shared" si="54"/>
        <v>887.04332725037534</v>
      </c>
      <c r="AD115" s="362">
        <f t="shared" si="54"/>
        <v>887.04332725037534</v>
      </c>
      <c r="AE115" s="362">
        <f t="shared" si="54"/>
        <v>128.20955258730453</v>
      </c>
      <c r="AF115" s="362">
        <f t="shared" si="54"/>
        <v>137.59073936198536</v>
      </c>
      <c r="AG115" s="362">
        <f t="shared" si="54"/>
        <v>24.817415221871428</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1513019.9903896833</v>
      </c>
      <c r="K116" s="356"/>
      <c r="L116" s="356"/>
      <c r="M116" s="362">
        <f t="shared" si="51"/>
        <v>63173.308723982394</v>
      </c>
      <c r="N116" s="362">
        <f t="shared" si="51"/>
        <v>68305.374349046411</v>
      </c>
      <c r="O116" s="362">
        <f t="shared" si="51"/>
        <v>68305.374349046411</v>
      </c>
      <c r="P116" s="362">
        <f t="shared" si="51"/>
        <v>20262.470713888182</v>
      </c>
      <c r="Q116" s="356"/>
      <c r="R116" s="356"/>
      <c r="S116" s="362">
        <f t="shared" si="52"/>
        <v>4562.2350364963004</v>
      </c>
      <c r="T116" s="362">
        <f t="shared" si="52"/>
        <v>4286.3881516573092</v>
      </c>
      <c r="U116" s="362">
        <f t="shared" si="52"/>
        <v>4286.3881516573092</v>
      </c>
      <c r="V116" s="362">
        <f t="shared" si="52"/>
        <v>1120.7530439226921</v>
      </c>
      <c r="W116" s="356"/>
      <c r="X116" s="362">
        <f t="shared" si="53"/>
        <v>4562.2350364963004</v>
      </c>
      <c r="Y116" s="362">
        <f t="shared" si="53"/>
        <v>4286.3881516573092</v>
      </c>
      <c r="Z116" s="362">
        <f t="shared" si="53"/>
        <v>4286.3881516573092</v>
      </c>
      <c r="AA116" s="362">
        <f t="shared" si="53"/>
        <v>1120.7530439226921</v>
      </c>
      <c r="AB116" s="356"/>
      <c r="AC116" s="362">
        <f t="shared" si="54"/>
        <v>475.31346325049486</v>
      </c>
      <c r="AD116" s="362">
        <f t="shared" si="54"/>
        <v>539.93941658718495</v>
      </c>
      <c r="AE116" s="362">
        <f t="shared" si="54"/>
        <v>539.93941658718495</v>
      </c>
      <c r="AF116" s="362">
        <f t="shared" si="54"/>
        <v>137.59073936198536</v>
      </c>
      <c r="AG116" s="362">
        <f t="shared" si="54"/>
        <v>24.817415221871428</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1513019.9903896833</v>
      </c>
      <c r="K117" s="356"/>
      <c r="L117" s="356"/>
      <c r="M117" s="362">
        <f t="shared" si="51"/>
        <v>63173.308723982394</v>
      </c>
      <c r="N117" s="362">
        <f t="shared" si="51"/>
        <v>48157.111043363169</v>
      </c>
      <c r="O117" s="362">
        <f t="shared" si="51"/>
        <v>40410.734019571421</v>
      </c>
      <c r="P117" s="362">
        <f t="shared" si="51"/>
        <v>40410.734019571421</v>
      </c>
      <c r="Q117" s="356"/>
      <c r="R117" s="356"/>
      <c r="S117" s="362">
        <f t="shared" si="52"/>
        <v>4562.2350364963004</v>
      </c>
      <c r="T117" s="362">
        <f t="shared" si="52"/>
        <v>3118.060628518454</v>
      </c>
      <c r="U117" s="362">
        <f t="shared" si="52"/>
        <v>2289.0805670615482</v>
      </c>
      <c r="V117" s="362">
        <f t="shared" si="52"/>
        <v>2289.0805670615482</v>
      </c>
      <c r="W117" s="356"/>
      <c r="X117" s="362">
        <f t="shared" si="53"/>
        <v>4562.2350364963004</v>
      </c>
      <c r="Y117" s="362">
        <f t="shared" si="53"/>
        <v>3118.060628518454</v>
      </c>
      <c r="Z117" s="362">
        <f t="shared" si="53"/>
        <v>2289.0805670615482</v>
      </c>
      <c r="AA117" s="362">
        <f t="shared" si="53"/>
        <v>2289.0805670615482</v>
      </c>
      <c r="AB117" s="356"/>
      <c r="AC117" s="362">
        <f t="shared" si="54"/>
        <v>475.31346325049486</v>
      </c>
      <c r="AD117" s="362">
        <f t="shared" si="54"/>
        <v>411.72986399988042</v>
      </c>
      <c r="AE117" s="362">
        <f t="shared" si="54"/>
        <v>265.80029194928989</v>
      </c>
      <c r="AF117" s="362">
        <f t="shared" si="54"/>
        <v>265.80029194928989</v>
      </c>
      <c r="AG117" s="362">
        <f t="shared" si="54"/>
        <v>24.817415221871428</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1513019.9903896833</v>
      </c>
      <c r="K118" s="356"/>
      <c r="L118" s="356"/>
      <c r="M118" s="362">
        <f t="shared" si="51"/>
        <v>111330.41976734556</v>
      </c>
      <c r="N118" s="362">
        <f t="shared" si="51"/>
        <v>111330.41976734556</v>
      </c>
      <c r="O118" s="362">
        <f t="shared" si="51"/>
        <v>40410.734019571421</v>
      </c>
      <c r="P118" s="362">
        <f t="shared" si="51"/>
        <v>40410.734019571421</v>
      </c>
      <c r="Q118" s="356"/>
      <c r="R118" s="356"/>
      <c r="S118" s="362">
        <f t="shared" si="52"/>
        <v>7680.2956650147526</v>
      </c>
      <c r="T118" s="362">
        <f t="shared" si="52"/>
        <v>7680.2956650147526</v>
      </c>
      <c r="U118" s="362">
        <f t="shared" si="52"/>
        <v>2289.0805670615482</v>
      </c>
      <c r="V118" s="362">
        <f t="shared" si="52"/>
        <v>2289.0805670615482</v>
      </c>
      <c r="W118" s="356"/>
      <c r="X118" s="362">
        <f t="shared" si="53"/>
        <v>7680.2956650147526</v>
      </c>
      <c r="Y118" s="362">
        <f t="shared" si="53"/>
        <v>7680.2956650147526</v>
      </c>
      <c r="Z118" s="362">
        <f t="shared" si="53"/>
        <v>2289.0805670615482</v>
      </c>
      <c r="AA118" s="362">
        <f t="shared" si="53"/>
        <v>2289.0805670615482</v>
      </c>
      <c r="AB118" s="356"/>
      <c r="AC118" s="362">
        <f t="shared" si="54"/>
        <v>887.04332725037534</v>
      </c>
      <c r="AD118" s="362">
        <f t="shared" si="54"/>
        <v>887.04332725037534</v>
      </c>
      <c r="AE118" s="362">
        <f t="shared" si="54"/>
        <v>265.80029194928989</v>
      </c>
      <c r="AF118" s="362">
        <f t="shared" si="54"/>
        <v>265.80029194928989</v>
      </c>
      <c r="AG118" s="362">
        <f t="shared" si="54"/>
        <v>24.817415221871428</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1513019.9903896833</v>
      </c>
      <c r="K119" s="356"/>
      <c r="L119" s="356"/>
      <c r="M119" s="362">
        <f t="shared" si="51"/>
        <v>131478.68307302881</v>
      </c>
      <c r="N119" s="362">
        <f t="shared" si="51"/>
        <v>131478.68307302881</v>
      </c>
      <c r="O119" s="362">
        <f t="shared" si="51"/>
        <v>131478.68307302881</v>
      </c>
      <c r="P119" s="362">
        <f t="shared" si="51"/>
        <v>20262.470713888182</v>
      </c>
      <c r="Q119" s="356"/>
      <c r="R119" s="356"/>
      <c r="S119" s="362">
        <f t="shared" si="52"/>
        <v>8848.6231881536096</v>
      </c>
      <c r="T119" s="362">
        <f t="shared" si="52"/>
        <v>8848.6231881536096</v>
      </c>
      <c r="U119" s="362">
        <f t="shared" si="52"/>
        <v>8848.6231881536096</v>
      </c>
      <c r="V119" s="362">
        <f t="shared" si="52"/>
        <v>1120.7530439226921</v>
      </c>
      <c r="W119" s="356"/>
      <c r="X119" s="362">
        <f t="shared" si="53"/>
        <v>8848.6231881536096</v>
      </c>
      <c r="Y119" s="362">
        <f t="shared" si="53"/>
        <v>8848.6231881536096</v>
      </c>
      <c r="Z119" s="362">
        <f t="shared" si="53"/>
        <v>8848.6231881536096</v>
      </c>
      <c r="AA119" s="362">
        <f t="shared" si="53"/>
        <v>1120.7530439226921</v>
      </c>
      <c r="AB119" s="356"/>
      <c r="AC119" s="362">
        <f t="shared" si="54"/>
        <v>1015.2528798376799</v>
      </c>
      <c r="AD119" s="362">
        <f t="shared" si="54"/>
        <v>1015.2528798376799</v>
      </c>
      <c r="AE119" s="362">
        <f t="shared" si="54"/>
        <v>1015.2528798376799</v>
      </c>
      <c r="AF119" s="362">
        <f t="shared" si="54"/>
        <v>137.59073936198536</v>
      </c>
      <c r="AG119" s="362">
        <f t="shared" si="54"/>
        <v>24.817415221871428</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1513019.9903896833</v>
      </c>
      <c r="K120" s="356"/>
      <c r="L120" s="356"/>
      <c r="M120" s="362">
        <f t="shared" si="51"/>
        <v>63173.308723982394</v>
      </c>
      <c r="N120" s="362">
        <f t="shared" si="51"/>
        <v>88567.84506293459</v>
      </c>
      <c r="O120" s="362">
        <f t="shared" si="51"/>
        <v>88567.84506293459</v>
      </c>
      <c r="P120" s="362">
        <f t="shared" si="51"/>
        <v>88567.84506293459</v>
      </c>
      <c r="Q120" s="356"/>
      <c r="R120" s="356"/>
      <c r="S120" s="362">
        <f t="shared" si="52"/>
        <v>4562.2350364963004</v>
      </c>
      <c r="T120" s="362">
        <f t="shared" si="52"/>
        <v>5407.1411955800013</v>
      </c>
      <c r="U120" s="362">
        <f t="shared" si="52"/>
        <v>5407.1411955800013</v>
      </c>
      <c r="V120" s="362">
        <f t="shared" si="52"/>
        <v>5407.1411955800013</v>
      </c>
      <c r="W120" s="356"/>
      <c r="X120" s="362">
        <f t="shared" si="53"/>
        <v>4562.2350364963004</v>
      </c>
      <c r="Y120" s="362">
        <f t="shared" si="53"/>
        <v>5407.1411955800013</v>
      </c>
      <c r="Z120" s="362">
        <f t="shared" si="53"/>
        <v>5407.1411955800013</v>
      </c>
      <c r="AA120" s="362">
        <f t="shared" si="53"/>
        <v>5407.1411955800013</v>
      </c>
      <c r="AB120" s="356"/>
      <c r="AC120" s="362">
        <f t="shared" si="54"/>
        <v>475.31346325049486</v>
      </c>
      <c r="AD120" s="362">
        <f t="shared" si="54"/>
        <v>677.53015594917031</v>
      </c>
      <c r="AE120" s="362">
        <f t="shared" si="54"/>
        <v>677.53015594917031</v>
      </c>
      <c r="AF120" s="362">
        <f t="shared" si="54"/>
        <v>677.53015594917031</v>
      </c>
      <c r="AG120" s="362">
        <f t="shared" si="54"/>
        <v>24.817415221871428</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1513019.9903896833</v>
      </c>
      <c r="K121" s="358"/>
      <c r="L121" s="358"/>
      <c r="M121" s="363">
        <f t="shared" si="51"/>
        <v>151741.15378691698</v>
      </c>
      <c r="N121" s="363">
        <f t="shared" si="51"/>
        <v>151741.15378691698</v>
      </c>
      <c r="O121" s="363">
        <f t="shared" si="51"/>
        <v>151741.15378691698</v>
      </c>
      <c r="P121" s="363">
        <f t="shared" si="51"/>
        <v>151741.15378691698</v>
      </c>
      <c r="Q121" s="358"/>
      <c r="R121" s="358"/>
      <c r="S121" s="363">
        <f t="shared" si="52"/>
        <v>9969.3762320763017</v>
      </c>
      <c r="T121" s="363">
        <f t="shared" si="52"/>
        <v>9969.3762320763017</v>
      </c>
      <c r="U121" s="363">
        <f t="shared" si="52"/>
        <v>9969.3762320763017</v>
      </c>
      <c r="V121" s="363">
        <f t="shared" si="52"/>
        <v>9969.3762320763017</v>
      </c>
      <c r="W121" s="358"/>
      <c r="X121" s="363">
        <f t="shared" si="53"/>
        <v>9969.3762320763017</v>
      </c>
      <c r="Y121" s="363">
        <f t="shared" si="53"/>
        <v>9969.3762320763017</v>
      </c>
      <c r="Z121" s="363">
        <f t="shared" si="53"/>
        <v>9969.3762320763017</v>
      </c>
      <c r="AA121" s="363">
        <f t="shared" si="53"/>
        <v>9969.3762320763017</v>
      </c>
      <c r="AB121" s="358"/>
      <c r="AC121" s="363">
        <f t="shared" si="54"/>
        <v>1152.8436191996652</v>
      </c>
      <c r="AD121" s="363">
        <f t="shared" si="54"/>
        <v>1152.8436191996652</v>
      </c>
      <c r="AE121" s="363">
        <f t="shared" si="54"/>
        <v>1152.8436191996652</v>
      </c>
      <c r="AF121" s="363">
        <f t="shared" si="54"/>
        <v>1152.8436191996652</v>
      </c>
      <c r="AG121" s="363">
        <f t="shared" si="54"/>
        <v>24.817415221871428</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1513019.9903896833</v>
      </c>
      <c r="K153" s="163">
        <f t="shared" si="98"/>
        <v>0</v>
      </c>
      <c r="L153" s="163">
        <f t="shared" si="98"/>
        <v>0</v>
      </c>
      <c r="M153" s="163">
        <f t="shared" si="98"/>
        <v>63173.308723982394</v>
      </c>
      <c r="N153" s="163">
        <f t="shared" si="98"/>
        <v>48157.111043363169</v>
      </c>
      <c r="O153" s="163">
        <f t="shared" si="98"/>
        <v>20148.263305683238</v>
      </c>
      <c r="P153" s="163">
        <f t="shared" si="98"/>
        <v>20262.470713888182</v>
      </c>
      <c r="Q153" s="163">
        <f t="shared" si="98"/>
        <v>0</v>
      </c>
      <c r="R153" s="163">
        <f t="shared" si="98"/>
        <v>0</v>
      </c>
      <c r="S153" s="163">
        <f t="shared" si="98"/>
        <v>4235.710719485015</v>
      </c>
      <c r="T153" s="163">
        <f t="shared" si="98"/>
        <v>2663.4309009983167</v>
      </c>
      <c r="U153" s="163">
        <f t="shared" si="98"/>
        <v>867.80956765944313</v>
      </c>
      <c r="V153" s="163">
        <f t="shared" si="98"/>
        <v>546.68669307099356</v>
      </c>
      <c r="W153" s="163">
        <f t="shared" si="98"/>
        <v>0</v>
      </c>
      <c r="X153" s="163">
        <f t="shared" si="98"/>
        <v>326.52431701128489</v>
      </c>
      <c r="Y153" s="163">
        <f t="shared" si="98"/>
        <v>454.62972752013712</v>
      </c>
      <c r="Z153" s="163">
        <f t="shared" si="98"/>
        <v>300.51795547941265</v>
      </c>
      <c r="AA153" s="163">
        <f t="shared" si="98"/>
        <v>574.06635085169864</v>
      </c>
      <c r="AB153" s="163">
        <f t="shared" si="98"/>
        <v>0</v>
      </c>
      <c r="AC153" s="163">
        <f t="shared" si="98"/>
        <v>475.31346325049486</v>
      </c>
      <c r="AD153" s="163">
        <f t="shared" si="98"/>
        <v>411.72986399988042</v>
      </c>
      <c r="AE153" s="163">
        <f t="shared" si="98"/>
        <v>128.20955258730453</v>
      </c>
      <c r="AF153" s="163">
        <f t="shared" si="98"/>
        <v>137.59073936198536</v>
      </c>
      <c r="AG153" s="163">
        <f t="shared" si="98"/>
        <v>24.817415221871428</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1513019.9903896833</v>
      </c>
      <c r="K155" s="163">
        <f t="shared" si="99"/>
        <v>0</v>
      </c>
      <c r="L155" s="163">
        <f t="shared" si="99"/>
        <v>0</v>
      </c>
      <c r="M155" s="163">
        <f t="shared" si="99"/>
        <v>63173.308723982394</v>
      </c>
      <c r="N155" s="163">
        <f t="shared" si="99"/>
        <v>48157.111043363169</v>
      </c>
      <c r="O155" s="163">
        <f t="shared" si="99"/>
        <v>20148.263305683238</v>
      </c>
      <c r="P155" s="163">
        <f t="shared" si="99"/>
        <v>20262.470713888182</v>
      </c>
      <c r="Q155" s="163">
        <f t="shared" si="99"/>
        <v>0</v>
      </c>
      <c r="R155" s="163">
        <f t="shared" si="99"/>
        <v>0</v>
      </c>
      <c r="S155" s="163">
        <f t="shared" si="99"/>
        <v>4562.2350364963004</v>
      </c>
      <c r="T155" s="163">
        <f t="shared" si="99"/>
        <v>3118.060628518454</v>
      </c>
      <c r="U155" s="163">
        <f t="shared" si="99"/>
        <v>1168.3275231388557</v>
      </c>
      <c r="V155" s="163">
        <f t="shared" si="99"/>
        <v>1120.7530439226921</v>
      </c>
      <c r="W155" s="163">
        <f t="shared" si="99"/>
        <v>0</v>
      </c>
      <c r="X155" s="163">
        <f t="shared" si="99"/>
        <v>4562.2350364963004</v>
      </c>
      <c r="Y155" s="163">
        <f t="shared" si="99"/>
        <v>3118.060628518454</v>
      </c>
      <c r="Z155" s="163">
        <f t="shared" si="99"/>
        <v>1168.3275231388557</v>
      </c>
      <c r="AA155" s="163">
        <f t="shared" si="99"/>
        <v>1120.7530439226921</v>
      </c>
      <c r="AB155" s="163">
        <f t="shared" si="99"/>
        <v>0</v>
      </c>
      <c r="AC155" s="163">
        <f t="shared" si="99"/>
        <v>475.31346325049486</v>
      </c>
      <c r="AD155" s="163">
        <f t="shared" si="99"/>
        <v>411.72986399988042</v>
      </c>
      <c r="AE155" s="163">
        <f t="shared" si="99"/>
        <v>128.20955258730453</v>
      </c>
      <c r="AF155" s="163">
        <f t="shared" si="99"/>
        <v>137.59073936198536</v>
      </c>
      <c r="AG155" s="163">
        <f t="shared" si="99"/>
        <v>24.817415221871428</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0.9284288699728962</v>
      </c>
      <c r="T157" s="402">
        <f t="shared" si="100"/>
        <v>0.85419471213548703</v>
      </c>
      <c r="U157" s="402">
        <f t="shared" si="100"/>
        <v>0.74277935807586382</v>
      </c>
      <c r="V157" s="402">
        <f t="shared" si="100"/>
        <v>0.48778515127432764</v>
      </c>
      <c r="W157" s="402">
        <f t="shared" si="100"/>
        <v>0</v>
      </c>
      <c r="X157" s="402">
        <f t="shared" si="100"/>
        <v>7.1571130027103691E-2</v>
      </c>
      <c r="Y157" s="402">
        <f t="shared" si="100"/>
        <v>0.14580528786451288</v>
      </c>
      <c r="Z157" s="402">
        <f t="shared" si="100"/>
        <v>0.2572206419241363</v>
      </c>
      <c r="AA157" s="402">
        <f t="shared" si="100"/>
        <v>0.51221484872567247</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5302175.5088822944</v>
      </c>
      <c r="K164" s="163">
        <f t="shared" si="101"/>
        <v>37813.329477393556</v>
      </c>
      <c r="L164" s="163">
        <f t="shared" si="101"/>
        <v>0</v>
      </c>
      <c r="M164" s="163">
        <f t="shared" si="101"/>
        <v>84073.71956321827</v>
      </c>
      <c r="N164" s="163">
        <f t="shared" si="101"/>
        <v>382028.65612588864</v>
      </c>
      <c r="O164" s="163">
        <f t="shared" si="101"/>
        <v>383512.57928379683</v>
      </c>
      <c r="P164" s="163">
        <f t="shared" si="101"/>
        <v>1245031.0064702181</v>
      </c>
      <c r="Q164" s="163">
        <f t="shared" si="101"/>
        <v>17149.671776577343</v>
      </c>
      <c r="R164" s="163">
        <f t="shared" si="101"/>
        <v>0</v>
      </c>
      <c r="S164" s="163">
        <f t="shared" si="101"/>
        <v>356451.90329662373</v>
      </c>
      <c r="T164" s="163">
        <f t="shared" si="101"/>
        <v>426717.88543488842</v>
      </c>
      <c r="U164" s="163">
        <f t="shared" si="101"/>
        <v>211016.08159632538</v>
      </c>
      <c r="V164" s="163">
        <f t="shared" si="101"/>
        <v>245187.69692028634</v>
      </c>
      <c r="W164" s="163">
        <f t="shared" si="101"/>
        <v>0</v>
      </c>
      <c r="X164" s="163">
        <f t="shared" si="101"/>
        <v>39835.882457509928</v>
      </c>
      <c r="Y164" s="163">
        <f t="shared" si="101"/>
        <v>109991.5375164471</v>
      </c>
      <c r="Z164" s="163">
        <f t="shared" si="101"/>
        <v>114529.6766768232</v>
      </c>
      <c r="AA164" s="163">
        <f t="shared" si="101"/>
        <v>441178.33719964448</v>
      </c>
      <c r="AB164" s="163">
        <f t="shared" si="101"/>
        <v>0</v>
      </c>
      <c r="AC164" s="163">
        <f t="shared" si="101"/>
        <v>192199.80835225369</v>
      </c>
      <c r="AD164" s="163">
        <f t="shared" si="101"/>
        <v>624813.07412303204</v>
      </c>
      <c r="AE164" s="163">
        <f t="shared" si="101"/>
        <v>410314.57160774595</v>
      </c>
      <c r="AF164" s="163">
        <f t="shared" si="101"/>
        <v>1121907.6947292751</v>
      </c>
      <c r="AG164" s="163">
        <f t="shared" si="101"/>
        <v>117709.9472484694</v>
      </c>
      <c r="AH164" s="163">
        <f t="shared" si="101"/>
        <v>3300.7884209498711</v>
      </c>
      <c r="AI164" s="163">
        <f t="shared" si="101"/>
        <v>0</v>
      </c>
      <c r="AJ164" s="163">
        <f t="shared" si="101"/>
        <v>66908.69705998234</v>
      </c>
      <c r="AK164" s="163">
        <f t="shared" si="101"/>
        <v>0</v>
      </c>
      <c r="AL164" s="163">
        <f t="shared" si="101"/>
        <v>17798.383329103795</v>
      </c>
      <c r="AM164" s="163">
        <f t="shared" si="101"/>
        <v>0</v>
      </c>
      <c r="AN164" s="163">
        <f t="shared" si="101"/>
        <v>555805.09461590042</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5302175.5088822944</v>
      </c>
      <c r="K166" s="163">
        <f t="shared" si="102"/>
        <v>0</v>
      </c>
      <c r="L166" s="163">
        <f t="shared" si="102"/>
        <v>0</v>
      </c>
      <c r="M166" s="163">
        <f t="shared" si="102"/>
        <v>84073.71956321827</v>
      </c>
      <c r="N166" s="163">
        <f t="shared" si="102"/>
        <v>382028.65612588864</v>
      </c>
      <c r="O166" s="163">
        <f t="shared" si="102"/>
        <v>383512.57928379683</v>
      </c>
      <c r="P166" s="163">
        <f t="shared" si="102"/>
        <v>1245031.0064702181</v>
      </c>
      <c r="Q166" s="163">
        <f t="shared" si="102"/>
        <v>0</v>
      </c>
      <c r="R166" s="163">
        <f t="shared" si="102"/>
        <v>0</v>
      </c>
      <c r="S166" s="163">
        <f t="shared" si="102"/>
        <v>356451.90329662373</v>
      </c>
      <c r="T166" s="163">
        <f t="shared" si="102"/>
        <v>426717.88543488842</v>
      </c>
      <c r="U166" s="163">
        <f t="shared" si="102"/>
        <v>211016.08159632538</v>
      </c>
      <c r="V166" s="163">
        <f t="shared" si="102"/>
        <v>245187.69692028634</v>
      </c>
      <c r="W166" s="163">
        <f t="shared" si="102"/>
        <v>0</v>
      </c>
      <c r="X166" s="163">
        <f t="shared" si="102"/>
        <v>39835.882457509928</v>
      </c>
      <c r="Y166" s="163">
        <f t="shared" si="102"/>
        <v>109991.5375164471</v>
      </c>
      <c r="Z166" s="163">
        <f t="shared" si="102"/>
        <v>114529.6766768232</v>
      </c>
      <c r="AA166" s="163">
        <f t="shared" si="102"/>
        <v>441178.33719964448</v>
      </c>
      <c r="AB166" s="163">
        <f t="shared" si="102"/>
        <v>0</v>
      </c>
      <c r="AC166" s="163">
        <f t="shared" si="102"/>
        <v>192199.80835225369</v>
      </c>
      <c r="AD166" s="163">
        <f t="shared" si="102"/>
        <v>624813.07412303204</v>
      </c>
      <c r="AE166" s="163">
        <f t="shared" si="102"/>
        <v>410314.57160774595</v>
      </c>
      <c r="AF166" s="163">
        <f t="shared" si="102"/>
        <v>1121907.6947292751</v>
      </c>
      <c r="AG166" s="163">
        <f t="shared" si="102"/>
        <v>117709.9472484694</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4.0137436641223649E-2</v>
      </c>
      <c r="N170" s="426">
        <f>'Volume adjustments'!L689</f>
        <v>0.18238340185311661</v>
      </c>
      <c r="O170" s="426">
        <f>'Volume adjustments'!M689</f>
        <v>0.18309183811643903</v>
      </c>
      <c r="P170" s="426">
        <f>'Volume adjustments'!N689</f>
        <v>0.59438732338922073</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37813.329477393556</v>
      </c>
      <c r="K172" s="79"/>
      <c r="L172" s="79"/>
      <c r="M172" s="163">
        <f>M170*$Q164</f>
        <v>688.34386435015449</v>
      </c>
      <c r="N172" s="163">
        <f>N170*$Q164</f>
        <v>3127.8154792765577</v>
      </c>
      <c r="O172" s="163">
        <f>O170*$Q164</f>
        <v>3139.9649286671624</v>
      </c>
      <c r="P172" s="163">
        <f>P170*$Q164</f>
        <v>10193.54750428347</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5339988.8383596884</v>
      </c>
      <c r="K174" s="163">
        <f t="shared" si="103"/>
        <v>0</v>
      </c>
      <c r="L174" s="163">
        <f t="shared" si="103"/>
        <v>0</v>
      </c>
      <c r="M174" s="163">
        <f t="shared" si="103"/>
        <v>84762.063427568428</v>
      </c>
      <c r="N174" s="163">
        <f t="shared" si="103"/>
        <v>385156.47160516522</v>
      </c>
      <c r="O174" s="163">
        <f t="shared" si="103"/>
        <v>386652.54421246401</v>
      </c>
      <c r="P174" s="163">
        <f t="shared" si="103"/>
        <v>1255224.5539745016</v>
      </c>
      <c r="Q174" s="163">
        <f t="shared" si="103"/>
        <v>0</v>
      </c>
      <c r="R174" s="163">
        <f t="shared" si="103"/>
        <v>0</v>
      </c>
      <c r="S174" s="163">
        <f t="shared" si="103"/>
        <v>356451.90329662373</v>
      </c>
      <c r="T174" s="163">
        <f t="shared" si="103"/>
        <v>426717.88543488842</v>
      </c>
      <c r="U174" s="163">
        <f t="shared" si="103"/>
        <v>211016.08159632538</v>
      </c>
      <c r="V174" s="163">
        <f t="shared" si="103"/>
        <v>245187.69692028634</v>
      </c>
      <c r="W174" s="163">
        <f t="shared" si="103"/>
        <v>0</v>
      </c>
      <c r="X174" s="163">
        <f t="shared" si="103"/>
        <v>39835.882457509928</v>
      </c>
      <c r="Y174" s="163">
        <f t="shared" si="103"/>
        <v>109991.5375164471</v>
      </c>
      <c r="Z174" s="163">
        <f t="shared" si="103"/>
        <v>114529.6766768232</v>
      </c>
      <c r="AA174" s="163">
        <f t="shared" si="103"/>
        <v>441178.33719964448</v>
      </c>
      <c r="AB174" s="163">
        <f t="shared" si="103"/>
        <v>0</v>
      </c>
      <c r="AC174" s="163">
        <f t="shared" si="103"/>
        <v>192199.80835225369</v>
      </c>
      <c r="AD174" s="163">
        <f t="shared" si="103"/>
        <v>624813.07412303204</v>
      </c>
      <c r="AE174" s="163">
        <f t="shared" si="103"/>
        <v>410314.57160774595</v>
      </c>
      <c r="AF174" s="163">
        <f t="shared" si="103"/>
        <v>1121907.6947292751</v>
      </c>
      <c r="AG174" s="163">
        <f t="shared" si="103"/>
        <v>117709.9472484694</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5339988.8383596884</v>
      </c>
      <c r="K182" s="163">
        <f t="shared" si="104"/>
        <v>0</v>
      </c>
      <c r="L182" s="163">
        <f t="shared" si="104"/>
        <v>0</v>
      </c>
      <c r="M182" s="163">
        <f t="shared" si="104"/>
        <v>84762.063427568428</v>
      </c>
      <c r="N182" s="163">
        <f t="shared" si="104"/>
        <v>385156.47160516522</v>
      </c>
      <c r="O182" s="163">
        <f t="shared" si="104"/>
        <v>386652.54421246401</v>
      </c>
      <c r="P182" s="163">
        <f t="shared" si="104"/>
        <v>1255224.5539745016</v>
      </c>
      <c r="Q182" s="163">
        <f t="shared" si="104"/>
        <v>0</v>
      </c>
      <c r="R182" s="163">
        <f t="shared" si="104"/>
        <v>0</v>
      </c>
      <c r="S182" s="163">
        <f t="shared" si="104"/>
        <v>396287.78575413366</v>
      </c>
      <c r="T182" s="163">
        <f t="shared" si="104"/>
        <v>536709.42295133555</v>
      </c>
      <c r="U182" s="163">
        <f t="shared" si="104"/>
        <v>325545.75827314856</v>
      </c>
      <c r="V182" s="163">
        <f t="shared" si="104"/>
        <v>686366.03411993082</v>
      </c>
      <c r="W182" s="163">
        <f t="shared" si="104"/>
        <v>0</v>
      </c>
      <c r="X182" s="163">
        <f t="shared" si="104"/>
        <v>396287.78575413366</v>
      </c>
      <c r="Y182" s="163">
        <f t="shared" si="104"/>
        <v>536709.42295133555</v>
      </c>
      <c r="Z182" s="163">
        <f t="shared" si="104"/>
        <v>325545.75827314856</v>
      </c>
      <c r="AA182" s="163">
        <f t="shared" si="104"/>
        <v>686366.03411993082</v>
      </c>
      <c r="AB182" s="163">
        <f t="shared" si="104"/>
        <v>0</v>
      </c>
      <c r="AC182" s="163">
        <f t="shared" si="104"/>
        <v>192199.80835225369</v>
      </c>
      <c r="AD182" s="163">
        <f t="shared" si="104"/>
        <v>624813.07412303204</v>
      </c>
      <c r="AE182" s="163">
        <f t="shared" si="104"/>
        <v>410314.57160774595</v>
      </c>
      <c r="AF182" s="163">
        <f t="shared" si="104"/>
        <v>1121907.6947292751</v>
      </c>
      <c r="AG182" s="163">
        <f t="shared" si="104"/>
        <v>117709.9472484694</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5339988.8383596884</v>
      </c>
      <c r="K184" s="163">
        <f t="shared" ref="K184:AO184" si="105">K157*K182</f>
        <v>0</v>
      </c>
      <c r="L184" s="163">
        <f t="shared" si="105"/>
        <v>0</v>
      </c>
      <c r="M184" s="163">
        <f t="shared" si="105"/>
        <v>84762.063427568428</v>
      </c>
      <c r="N184" s="163">
        <f t="shared" si="105"/>
        <v>385156.47160516522</v>
      </c>
      <c r="O184" s="163">
        <f t="shared" si="105"/>
        <v>386652.54421246401</v>
      </c>
      <c r="P184" s="163">
        <f t="shared" si="105"/>
        <v>1255224.5539745016</v>
      </c>
      <c r="Q184" s="163">
        <f t="shared" si="105"/>
        <v>0</v>
      </c>
      <c r="R184" s="163">
        <f t="shared" si="105"/>
        <v>0</v>
      </c>
      <c r="S184" s="163">
        <f t="shared" si="105"/>
        <v>367925.02111177152</v>
      </c>
      <c r="T184" s="163">
        <f t="shared" si="105"/>
        <v>458454.35103831941</v>
      </c>
      <c r="U184" s="163">
        <f t="shared" si="105"/>
        <v>241808.66935444961</v>
      </c>
      <c r="V184" s="163">
        <f t="shared" si="105"/>
        <v>334799.15978275076</v>
      </c>
      <c r="W184" s="163">
        <f t="shared" si="105"/>
        <v>0</v>
      </c>
      <c r="X184" s="163">
        <f t="shared" si="105"/>
        <v>28362.764642362108</v>
      </c>
      <c r="Y184" s="163">
        <f t="shared" si="105"/>
        <v>78255.071913016072</v>
      </c>
      <c r="Z184" s="163">
        <f t="shared" si="105"/>
        <v>83737.088918698981</v>
      </c>
      <c r="AA184" s="163">
        <f t="shared" si="105"/>
        <v>351566.87433718011</v>
      </c>
      <c r="AB184" s="163">
        <f t="shared" si="105"/>
        <v>0</v>
      </c>
      <c r="AC184" s="163">
        <f t="shared" si="105"/>
        <v>192199.80835225369</v>
      </c>
      <c r="AD184" s="163">
        <f t="shared" si="105"/>
        <v>624813.07412303204</v>
      </c>
      <c r="AE184" s="163">
        <f t="shared" si="105"/>
        <v>410314.57160774595</v>
      </c>
      <c r="AF184" s="163">
        <f t="shared" si="105"/>
        <v>1121907.6947292751</v>
      </c>
      <c r="AG184" s="163">
        <f t="shared" si="105"/>
        <v>117709.9472484694</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11863638.568738714</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0.45011391803782935</v>
      </c>
      <c r="K188" s="335">
        <f t="shared" ref="K188:AO188" si="106">K184/$H186</f>
        <v>0</v>
      </c>
      <c r="L188" s="335">
        <f t="shared" si="106"/>
        <v>0</v>
      </c>
      <c r="M188" s="335">
        <f t="shared" si="106"/>
        <v>7.144693673568305E-3</v>
      </c>
      <c r="N188" s="335">
        <f t="shared" si="106"/>
        <v>3.2465290422794231E-2</v>
      </c>
      <c r="O188" s="335">
        <f t="shared" si="106"/>
        <v>3.2591396136368564E-2</v>
      </c>
      <c r="P188" s="335">
        <f t="shared" si="106"/>
        <v>0.10580434886832119</v>
      </c>
      <c r="Q188" s="335">
        <f t="shared" si="106"/>
        <v>0</v>
      </c>
      <c r="R188" s="335">
        <f t="shared" si="106"/>
        <v>0</v>
      </c>
      <c r="S188" s="335">
        <f t="shared" si="106"/>
        <v>3.1012831264201905E-2</v>
      </c>
      <c r="T188" s="335">
        <f t="shared" si="106"/>
        <v>3.8643654590621947E-2</v>
      </c>
      <c r="U188" s="335">
        <f t="shared" si="106"/>
        <v>2.038233615710678E-2</v>
      </c>
      <c r="V188" s="335">
        <f t="shared" si="106"/>
        <v>2.8220613586877424E-2</v>
      </c>
      <c r="W188" s="335">
        <f t="shared" si="106"/>
        <v>0</v>
      </c>
      <c r="X188" s="335">
        <f t="shared" si="106"/>
        <v>2.3907306749127899E-3</v>
      </c>
      <c r="Y188" s="335">
        <f t="shared" si="106"/>
        <v>6.5962117321427963E-3</v>
      </c>
      <c r="Z188" s="335">
        <f t="shared" si="106"/>
        <v>7.0582973708715668E-3</v>
      </c>
      <c r="AA188" s="335">
        <f t="shared" si="106"/>
        <v>2.963398389964244E-2</v>
      </c>
      <c r="AB188" s="335">
        <f t="shared" si="106"/>
        <v>0</v>
      </c>
      <c r="AC188" s="335">
        <f t="shared" si="106"/>
        <v>1.6200747118064594E-2</v>
      </c>
      <c r="AD188" s="335">
        <f t="shared" si="106"/>
        <v>5.2666226343867723E-2</v>
      </c>
      <c r="AE188" s="335">
        <f t="shared" si="106"/>
        <v>3.4585896159121499E-2</v>
      </c>
      <c r="AF188" s="335">
        <f t="shared" si="106"/>
        <v>9.4566914545555894E-2</v>
      </c>
      <c r="AG188" s="335">
        <f t="shared" si="106"/>
        <v>9.9219094181308802E-3</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76588831.740679428</v>
      </c>
      <c r="K190" s="163">
        <f t="shared" ref="K190:AO190" si="107">$H$84 * K188</f>
        <v>0</v>
      </c>
      <c r="L190" s="163">
        <f t="shared" si="107"/>
        <v>0</v>
      </c>
      <c r="M190" s="163">
        <f t="shared" si="107"/>
        <v>1215700.5586253179</v>
      </c>
      <c r="N190" s="163">
        <f t="shared" si="107"/>
        <v>5524109.7108103763</v>
      </c>
      <c r="O190" s="163">
        <f t="shared" si="107"/>
        <v>5545567.1438988391</v>
      </c>
      <c r="P190" s="163">
        <f t="shared" si="107"/>
        <v>18003067.99717078</v>
      </c>
      <c r="Q190" s="163">
        <f t="shared" si="107"/>
        <v>0</v>
      </c>
      <c r="R190" s="163">
        <f t="shared" si="107"/>
        <v>0</v>
      </c>
      <c r="S190" s="163">
        <f t="shared" si="107"/>
        <v>5276967.4971401747</v>
      </c>
      <c r="T190" s="163">
        <f t="shared" si="107"/>
        <v>6575385.1207003472</v>
      </c>
      <c r="U190" s="163">
        <f t="shared" si="107"/>
        <v>3468142.7342298273</v>
      </c>
      <c r="V190" s="163">
        <f t="shared" si="107"/>
        <v>4801859.5715639163</v>
      </c>
      <c r="W190" s="163">
        <f t="shared" si="107"/>
        <v>0</v>
      </c>
      <c r="X190" s="163">
        <f t="shared" si="107"/>
        <v>406793.17403997254</v>
      </c>
      <c r="Y190" s="163">
        <f t="shared" si="107"/>
        <v>1122373.9818605687</v>
      </c>
      <c r="Z190" s="163">
        <f t="shared" si="107"/>
        <v>1200999.8537035449</v>
      </c>
      <c r="AA190" s="163">
        <f t="shared" si="107"/>
        <v>5042350.6488972185</v>
      </c>
      <c r="AB190" s="163">
        <f t="shared" si="107"/>
        <v>0</v>
      </c>
      <c r="AC190" s="163">
        <f t="shared" si="107"/>
        <v>2756627.2567347386</v>
      </c>
      <c r="AD190" s="163">
        <f t="shared" si="107"/>
        <v>8961386.4095800295</v>
      </c>
      <c r="AE190" s="163">
        <f t="shared" si="107"/>
        <v>5884939.9571531219</v>
      </c>
      <c r="AF190" s="163">
        <f t="shared" si="107"/>
        <v>16090969.89921578</v>
      </c>
      <c r="AG190" s="163">
        <f t="shared" si="107"/>
        <v>1688255.8403973256</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50.619841262608645</v>
      </c>
      <c r="K196" s="163">
        <f t="shared" si="108"/>
        <v>0</v>
      </c>
      <c r="L196" s="163">
        <f t="shared" si="108"/>
        <v>0</v>
      </c>
      <c r="M196" s="163">
        <f t="shared" si="108"/>
        <v>19.243895613208608</v>
      </c>
      <c r="N196" s="163">
        <f t="shared" si="108"/>
        <v>114.71015580307923</v>
      </c>
      <c r="O196" s="163">
        <f t="shared" si="108"/>
        <v>275.23797261149531</v>
      </c>
      <c r="P196" s="163">
        <f t="shared" si="108"/>
        <v>888.49322727613981</v>
      </c>
      <c r="Q196" s="163">
        <f t="shared" si="108"/>
        <v>0</v>
      </c>
      <c r="R196" s="163">
        <f t="shared" si="108"/>
        <v>0</v>
      </c>
      <c r="S196" s="163">
        <f t="shared" si="108"/>
        <v>1245.8281140081629</v>
      </c>
      <c r="T196" s="163">
        <f t="shared" si="108"/>
        <v>2468.7650497092823</v>
      </c>
      <c r="U196" s="163">
        <f t="shared" si="108"/>
        <v>3996.432931229032</v>
      </c>
      <c r="V196" s="163">
        <f t="shared" si="108"/>
        <v>8783.5676858890347</v>
      </c>
      <c r="W196" s="163">
        <f t="shared" si="108"/>
        <v>0</v>
      </c>
      <c r="X196" s="163">
        <f t="shared" si="108"/>
        <v>1245.8281140081629</v>
      </c>
      <c r="Y196" s="163">
        <f t="shared" si="108"/>
        <v>2468.7650497092823</v>
      </c>
      <c r="Z196" s="163">
        <f t="shared" si="108"/>
        <v>3996.4329312290324</v>
      </c>
      <c r="AA196" s="163">
        <f t="shared" si="108"/>
        <v>8783.5676858890365</v>
      </c>
      <c r="AB196" s="163">
        <f t="shared" si="108"/>
        <v>0</v>
      </c>
      <c r="AC196" s="163">
        <f t="shared" si="108"/>
        <v>5799.5985173303807</v>
      </c>
      <c r="AD196" s="163">
        <f t="shared" si="108"/>
        <v>21765.208679598312</v>
      </c>
      <c r="AE196" s="163">
        <f t="shared" si="108"/>
        <v>45900.94761578519</v>
      </c>
      <c r="AF196" s="163">
        <f t="shared" si="108"/>
        <v>116948.05895971163</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13.86844966098867</v>
      </c>
      <c r="K198" s="163">
        <f t="shared" si="109"/>
        <v>0</v>
      </c>
      <c r="L198" s="163">
        <f t="shared" si="109"/>
        <v>0</v>
      </c>
      <c r="M198" s="163">
        <f t="shared" si="109"/>
        <v>5.2723001680023582</v>
      </c>
      <c r="N198" s="163">
        <f t="shared" si="109"/>
        <v>31.427439946049105</v>
      </c>
      <c r="O198" s="163">
        <f t="shared" si="109"/>
        <v>75.407663729176804</v>
      </c>
      <c r="P198" s="163">
        <f t="shared" si="109"/>
        <v>243.42280199346297</v>
      </c>
      <c r="Q198" s="163">
        <f t="shared" si="109"/>
        <v>0</v>
      </c>
      <c r="R198" s="163">
        <f t="shared" si="109"/>
        <v>0</v>
      </c>
      <c r="S198" s="163">
        <f t="shared" si="109"/>
        <v>341.32277096114052</v>
      </c>
      <c r="T198" s="163">
        <f t="shared" si="109"/>
        <v>676.37398622172111</v>
      </c>
      <c r="U198" s="163">
        <f t="shared" si="109"/>
        <v>1094.9131318435705</v>
      </c>
      <c r="V198" s="163">
        <f t="shared" si="109"/>
        <v>2406.456900243571</v>
      </c>
      <c r="W198" s="163">
        <f t="shared" si="109"/>
        <v>0</v>
      </c>
      <c r="X198" s="163">
        <f t="shared" si="109"/>
        <v>341.32277096114052</v>
      </c>
      <c r="Y198" s="163">
        <f t="shared" si="109"/>
        <v>676.37398622172111</v>
      </c>
      <c r="Z198" s="163">
        <f t="shared" si="109"/>
        <v>1094.9131318435707</v>
      </c>
      <c r="AA198" s="163">
        <f t="shared" si="109"/>
        <v>2406.4569002435715</v>
      </c>
      <c r="AB198" s="163">
        <f t="shared" si="109"/>
        <v>0</v>
      </c>
      <c r="AC198" s="163">
        <f t="shared" si="109"/>
        <v>1588.9311006384605</v>
      </c>
      <c r="AD198" s="163">
        <f t="shared" si="109"/>
        <v>5963.0708711228253</v>
      </c>
      <c r="AE198" s="163">
        <f t="shared" si="109"/>
        <v>12575.60208651649</v>
      </c>
      <c r="AF198" s="163">
        <f t="shared" si="109"/>
        <v>32040.564098551135</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14.342507832695322</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1.4342507832695321</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15.104516725571802</v>
      </c>
      <c r="K222" s="163">
        <f t="array" ref="K222">MIN(IF($J149:$AO149=K149,$J43:$AO43+$J48:$AO48))</f>
        <v>0</v>
      </c>
      <c r="L222" s="163">
        <f t="array" ref="L222">MIN(IF($J149:$AO149=L149,$J43:$AO43+$J48:$AO48))</f>
        <v>0</v>
      </c>
      <c r="M222" s="163">
        <f t="array" ref="M222">MIN(IF($J149:$AO149=M149,$J43:$AO43+$J48:$AO48))</f>
        <v>10.217596249740245</v>
      </c>
      <c r="N222" s="163">
        <f t="array" ref="N222">MIN(IF($J149:$AO149=N149,$J43:$AO43+$J48:$AO48))</f>
        <v>10.217596249740245</v>
      </c>
      <c r="O222" s="163">
        <f t="array" ref="O222">MIN(IF($J149:$AO149=O149,$J43:$AO43+$J48:$AO48))</f>
        <v>10.217596249740245</v>
      </c>
      <c r="P222" s="163">
        <f t="array" ref="P222">MIN(IF($J149:$AO149=P149,$J43:$AO43+$J48:$AO48))</f>
        <v>10.217596249740245</v>
      </c>
      <c r="Q222" s="163">
        <f t="array" ref="Q222">MIN(IF($J149:$AO149=Q149,$J43:$AO43+$J48:$AO48))</f>
        <v>0</v>
      </c>
      <c r="R222" s="163">
        <f t="array" ref="R222">MIN(IF($J149:$AO149=R149,$J43:$AO43+$J48:$AO48))</f>
        <v>0</v>
      </c>
      <c r="S222" s="163">
        <f t="array" ref="S222">MIN(IF($J149:$AO149=S149,$J43:$AO43+$J48:$AO48))</f>
        <v>11.130026464918734</v>
      </c>
      <c r="T222" s="163">
        <f t="array" ref="T222">MIN(IF($J149:$AO149=T149,$J43:$AO43+$J48:$AO48))</f>
        <v>11.130026464918734</v>
      </c>
      <c r="U222" s="163">
        <f t="array" ref="U222">MIN(IF($J149:$AO149=U149,$J43:$AO43+$J48:$AO48))</f>
        <v>11.130026464918734</v>
      </c>
      <c r="V222" s="163">
        <f t="array" ref="V222">MIN(IF($J149:$AO149=V149,$J43:$AO43+$J48:$AO48))</f>
        <v>11.130026464918734</v>
      </c>
      <c r="W222" s="163">
        <f t="array" ref="W222">MIN(IF($J149:$AO149=W149,$J43:$AO43+$J48:$AO48))</f>
        <v>0</v>
      </c>
      <c r="X222" s="163">
        <f t="array" ref="X222">MIN(IF($J149:$AO149=X149,$J43:$AO43+$J48:$AO48))</f>
        <v>11.130026464918734</v>
      </c>
      <c r="Y222" s="163">
        <f t="array" ref="Y222">MIN(IF($J149:$AO149=Y149,$J43:$AO43+$J48:$AO48))</f>
        <v>11.130026464918734</v>
      </c>
      <c r="Z222" s="163">
        <f t="array" ref="Z222">MIN(IF($J149:$AO149=Z149,$J43:$AO43+$J48:$AO48))</f>
        <v>11.130026464918734</v>
      </c>
      <c r="AA222" s="163">
        <f t="array" ref="AA222">MIN(IF($J149:$AO149=AA149,$J43:$AO43+$J48:$AO48))</f>
        <v>11.130026464918734</v>
      </c>
      <c r="AB222" s="163">
        <f t="array" ref="AB222">MIN(IF($J149:$AO149=AB149,$J43:$AO43+$J48:$AO48))</f>
        <v>0</v>
      </c>
      <c r="AC222" s="163">
        <f t="array" ref="AC222">MIN(IF($J149:$AO149=AC149,$J43:$AO43+$J48:$AO48))</f>
        <v>101.96661699710015</v>
      </c>
      <c r="AD222" s="163">
        <f t="array" ref="AD222">MIN(IF($J149:$AO149=AD149,$J43:$AO43+$J48:$AO48))</f>
        <v>101.96661699710015</v>
      </c>
      <c r="AE222" s="163">
        <f t="array" ref="AE222">MIN(IF($J149:$AO149=AE149,$J43:$AO43+$J48:$AO48))</f>
        <v>101.96661699710015</v>
      </c>
      <c r="AF222" s="163">
        <f t="array" ref="AF222">MIN(IF($J149:$AO149=AF149,$J43:$AO43+$J48:$AO48))</f>
        <v>101.96661699710015</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13.86844966098867</v>
      </c>
      <c r="K224" s="163">
        <f t="shared" ref="K224:AO224" si="112">MAX(-K222,K198)</f>
        <v>0</v>
      </c>
      <c r="L224" s="163">
        <f t="shared" si="112"/>
        <v>0</v>
      </c>
      <c r="M224" s="163">
        <f t="shared" si="112"/>
        <v>5.2723001680023582</v>
      </c>
      <c r="N224" s="163">
        <f t="shared" si="112"/>
        <v>31.427439946049105</v>
      </c>
      <c r="O224" s="163">
        <f t="shared" si="112"/>
        <v>75.407663729176804</v>
      </c>
      <c r="P224" s="163">
        <f t="shared" si="112"/>
        <v>243.42280199346297</v>
      </c>
      <c r="Q224" s="163">
        <f t="shared" si="112"/>
        <v>0</v>
      </c>
      <c r="R224" s="163">
        <f t="shared" si="112"/>
        <v>0</v>
      </c>
      <c r="S224" s="163">
        <f t="shared" si="112"/>
        <v>341.32277096114052</v>
      </c>
      <c r="T224" s="163">
        <f t="shared" si="112"/>
        <v>676.37398622172111</v>
      </c>
      <c r="U224" s="163">
        <f t="shared" si="112"/>
        <v>1094.9131318435705</v>
      </c>
      <c r="V224" s="163">
        <f t="shared" si="112"/>
        <v>2406.456900243571</v>
      </c>
      <c r="W224" s="163">
        <f t="shared" si="112"/>
        <v>0</v>
      </c>
      <c r="X224" s="163">
        <f t="shared" si="112"/>
        <v>341.32277096114052</v>
      </c>
      <c r="Y224" s="163">
        <f t="shared" si="112"/>
        <v>676.37398622172111</v>
      </c>
      <c r="Z224" s="163">
        <f t="shared" si="112"/>
        <v>1094.9131318435707</v>
      </c>
      <c r="AA224" s="163">
        <f t="shared" si="112"/>
        <v>2406.4569002435715</v>
      </c>
      <c r="AB224" s="163">
        <f t="shared" si="112"/>
        <v>0</v>
      </c>
      <c r="AC224" s="163">
        <f t="shared" si="112"/>
        <v>1588.9311006384605</v>
      </c>
      <c r="AD224" s="163">
        <f t="shared" si="112"/>
        <v>5963.0708711228253</v>
      </c>
      <c r="AE224" s="163">
        <f t="shared" si="112"/>
        <v>12575.60208651649</v>
      </c>
      <c r="AF224" s="163">
        <f t="shared" si="112"/>
        <v>32040.564098551135</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1.4342507832695321</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1.4342507832695321</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1.4342507832695321</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13.86844966098867</v>
      </c>
      <c r="K415" s="199">
        <f t="shared" si="173"/>
        <v>0</v>
      </c>
      <c r="L415" s="199">
        <f t="shared" si="173"/>
        <v>0</v>
      </c>
      <c r="M415" s="199">
        <f t="shared" si="173"/>
        <v>5.2723001680023582</v>
      </c>
      <c r="N415" s="199">
        <f t="shared" si="173"/>
        <v>31.427439946049105</v>
      </c>
      <c r="O415" s="199">
        <f t="shared" si="173"/>
        <v>75.407663729176804</v>
      </c>
      <c r="P415" s="199">
        <f t="shared" si="173"/>
        <v>243.42280199346297</v>
      </c>
      <c r="Q415" s="199">
        <f t="shared" si="173"/>
        <v>0</v>
      </c>
      <c r="R415" s="199">
        <f t="shared" si="173"/>
        <v>0</v>
      </c>
      <c r="S415" s="199">
        <f t="shared" si="173"/>
        <v>341.32277096114052</v>
      </c>
      <c r="T415" s="199">
        <f t="shared" si="173"/>
        <v>676.37398622172111</v>
      </c>
      <c r="U415" s="199">
        <f t="shared" si="173"/>
        <v>1094.9131318435705</v>
      </c>
      <c r="V415" s="199">
        <f t="shared" si="173"/>
        <v>2406.456900243571</v>
      </c>
      <c r="W415" s="199">
        <f t="shared" si="173"/>
        <v>0</v>
      </c>
      <c r="X415" s="199">
        <f t="shared" si="173"/>
        <v>341.32277096114052</v>
      </c>
      <c r="Y415" s="199">
        <f t="shared" si="173"/>
        <v>676.37398622172111</v>
      </c>
      <c r="Z415" s="199">
        <f t="shared" si="173"/>
        <v>1094.9131318435707</v>
      </c>
      <c r="AA415" s="199">
        <f t="shared" si="173"/>
        <v>2406.4569002435715</v>
      </c>
      <c r="AB415" s="199">
        <f t="shared" si="173"/>
        <v>0</v>
      </c>
      <c r="AC415" s="199">
        <f t="shared" si="173"/>
        <v>1588.9311006384605</v>
      </c>
      <c r="AD415" s="199">
        <f t="shared" si="173"/>
        <v>5963.0708711228253</v>
      </c>
      <c r="AE415" s="199">
        <f t="shared" si="173"/>
        <v>12575.60208651649</v>
      </c>
      <c r="AF415" s="199">
        <f t="shared" si="173"/>
        <v>32040.564098551135</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39" activePane="bottomRight" state="frozen"/>
      <selection pane="topRight"/>
      <selection pane="bottomLeft"/>
      <selection pane="bottomRight" activeCell="J47" sqref="J47"/>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14.404584738069387</v>
      </c>
      <c r="K20" s="278">
        <f>'Revenue matching'!K40</f>
        <v>14.404584738069387</v>
      </c>
      <c r="L20" s="278">
        <f>'Revenue matching'!L40</f>
        <v>13.053773387662252</v>
      </c>
      <c r="M20" s="278">
        <f>'Revenue matching'!M40</f>
        <v>13.053773387662252</v>
      </c>
      <c r="N20" s="278">
        <f>'Revenue matching'!N40</f>
        <v>13.053773387662252</v>
      </c>
      <c r="O20" s="278">
        <f>'Revenue matching'!O40</f>
        <v>13.053773387662252</v>
      </c>
      <c r="P20" s="278">
        <f>'Revenue matching'!P40</f>
        <v>13.053773387662252</v>
      </c>
      <c r="Q20" s="278">
        <f>'Revenue matching'!Q40</f>
        <v>13.053773387662252</v>
      </c>
      <c r="R20" s="278">
        <f>'Revenue matching'!R40</f>
        <v>8.4072143362764926</v>
      </c>
      <c r="S20" s="278">
        <f>'Revenue matching'!S40</f>
        <v>8.4072143362764926</v>
      </c>
      <c r="T20" s="278">
        <f>'Revenue matching'!T40</f>
        <v>8.4072143362764926</v>
      </c>
      <c r="U20" s="278">
        <f>'Revenue matching'!U40</f>
        <v>8.4072143362764926</v>
      </c>
      <c r="V20" s="278">
        <f>'Revenue matching'!V40</f>
        <v>8.4072143362764926</v>
      </c>
      <c r="W20" s="278">
        <f>'Revenue matching'!W40</f>
        <v>6.5529368444037495</v>
      </c>
      <c r="X20" s="278">
        <f>'Revenue matching'!X40</f>
        <v>6.5529368444037495</v>
      </c>
      <c r="Y20" s="278">
        <f>'Revenue matching'!Y40</f>
        <v>6.5529368444037495</v>
      </c>
      <c r="Z20" s="278">
        <f>'Revenue matching'!Z40</f>
        <v>6.5529368444037495</v>
      </c>
      <c r="AA20" s="278">
        <f>'Revenue matching'!AA40</f>
        <v>6.5529368444037495</v>
      </c>
      <c r="AB20" s="278">
        <f>'Revenue matching'!AB40</f>
        <v>4.8030608077080501</v>
      </c>
      <c r="AC20" s="278">
        <f>'Revenue matching'!AC40</f>
        <v>4.8030608077080501</v>
      </c>
      <c r="AD20" s="278">
        <f>'Revenue matching'!AD40</f>
        <v>4.8030608077080501</v>
      </c>
      <c r="AE20" s="278">
        <f>'Revenue matching'!AE40</f>
        <v>4.8030608077080501</v>
      </c>
      <c r="AF20" s="278">
        <f>'Revenue matching'!AF40</f>
        <v>4.8030608077080501</v>
      </c>
      <c r="AG20" s="278">
        <f>'Revenue matching'!AG40</f>
        <v>36.675826680472731</v>
      </c>
      <c r="AH20" s="278">
        <f>'Revenue matching'!AH40</f>
        <v>-8.5656881932319084</v>
      </c>
      <c r="AI20" s="278">
        <f>'Revenue matching'!AI40</f>
        <v>-7.756691054523416</v>
      </c>
      <c r="AJ20" s="278">
        <f>'Revenue matching'!AJ40</f>
        <v>-8.5656881932319084</v>
      </c>
      <c r="AK20" s="278">
        <f>'Revenue matching'!AK40</f>
        <v>-8.5656881932319084</v>
      </c>
      <c r="AL20" s="278">
        <f>'Revenue matching'!AL40</f>
        <v>-7.756691054523416</v>
      </c>
      <c r="AM20" s="278">
        <f>'Revenue matching'!AM40</f>
        <v>-7.756691054523416</v>
      </c>
      <c r="AN20" s="278">
        <f>'Revenue matching'!AN40</f>
        <v>-5.2246528598629354</v>
      </c>
      <c r="AO20" s="278">
        <f>'Revenue matching'!AO40</f>
        <v>-5.2246528598629354</v>
      </c>
      <c r="AP20" s="267"/>
      <c r="AQ20" s="267"/>
    </row>
    <row r="21" spans="3:43" x14ac:dyDescent="0.3">
      <c r="C21" s="88"/>
      <c r="F21" t="s">
        <v>157</v>
      </c>
      <c r="G21" t="s">
        <v>269</v>
      </c>
      <c r="H21" s="279"/>
      <c r="I21" s="267"/>
      <c r="J21" s="279">
        <f>'Revenue matching'!J41</f>
        <v>0.72371799810694781</v>
      </c>
      <c r="K21" s="279">
        <f>'Revenue matching'!K41</f>
        <v>0.72371799810694781</v>
      </c>
      <c r="L21" s="279">
        <f>'Revenue matching'!L41</f>
        <v>0.65585026681767888</v>
      </c>
      <c r="M21" s="279">
        <f>'Revenue matching'!M41</f>
        <v>0.65585026681767888</v>
      </c>
      <c r="N21" s="279">
        <f>'Revenue matching'!N41</f>
        <v>0.65585026681767888</v>
      </c>
      <c r="O21" s="279">
        <f>'Revenue matching'!O41</f>
        <v>0.65585026681767888</v>
      </c>
      <c r="P21" s="279">
        <f>'Revenue matching'!P41</f>
        <v>0.65585026681767888</v>
      </c>
      <c r="Q21" s="279">
        <f>'Revenue matching'!Q41</f>
        <v>0.65585026681767888</v>
      </c>
      <c r="R21" s="279">
        <f>'Revenue matching'!R41</f>
        <v>0.38262023285484648</v>
      </c>
      <c r="S21" s="279">
        <f>'Revenue matching'!S41</f>
        <v>0.38262023285484648</v>
      </c>
      <c r="T21" s="279">
        <f>'Revenue matching'!T41</f>
        <v>0.38262023285484648</v>
      </c>
      <c r="U21" s="279">
        <f>'Revenue matching'!U41</f>
        <v>0.38262023285484648</v>
      </c>
      <c r="V21" s="279">
        <f>'Revenue matching'!V41</f>
        <v>0.38262023285484648</v>
      </c>
      <c r="W21" s="279">
        <f>'Revenue matching'!W41</f>
        <v>0.2361769239194762</v>
      </c>
      <c r="X21" s="279">
        <f>'Revenue matching'!X41</f>
        <v>0.2361769239194762</v>
      </c>
      <c r="Y21" s="279">
        <f>'Revenue matching'!Y41</f>
        <v>0.2361769239194762</v>
      </c>
      <c r="Z21" s="279">
        <f>'Revenue matching'!Z41</f>
        <v>0.2361769239194762</v>
      </c>
      <c r="AA21" s="279">
        <f>'Revenue matching'!AA41</f>
        <v>0.2361769239194762</v>
      </c>
      <c r="AB21" s="279">
        <f>'Revenue matching'!AB41</f>
        <v>0.1314028636233896</v>
      </c>
      <c r="AC21" s="279">
        <f>'Revenue matching'!AC41</f>
        <v>0.1314028636233896</v>
      </c>
      <c r="AD21" s="279">
        <f>'Revenue matching'!AD41</f>
        <v>0.1314028636233896</v>
      </c>
      <c r="AE21" s="279">
        <f>'Revenue matching'!AE41</f>
        <v>0.1314028636233896</v>
      </c>
      <c r="AF21" s="279">
        <f>'Revenue matching'!AF41</f>
        <v>0.1314028636233896</v>
      </c>
      <c r="AG21" s="279">
        <f>'Revenue matching'!AG41</f>
        <v>1.9837579977322077</v>
      </c>
      <c r="AH21" s="279">
        <f>'Revenue matching'!AH41</f>
        <v>-0.43035900196627064</v>
      </c>
      <c r="AI21" s="279">
        <f>'Revenue matching'!AI41</f>
        <v>-0.36699458766190662</v>
      </c>
      <c r="AJ21" s="279">
        <f>'Revenue matching'!AJ41</f>
        <v>-0.43035900196627064</v>
      </c>
      <c r="AK21" s="279">
        <f>'Revenue matching'!AK41</f>
        <v>-0.43035900196627064</v>
      </c>
      <c r="AL21" s="279">
        <f>'Revenue matching'!AL41</f>
        <v>-0.36699458766190662</v>
      </c>
      <c r="AM21" s="279">
        <f>'Revenue matching'!AM41</f>
        <v>-0.36699458766190662</v>
      </c>
      <c r="AN21" s="279">
        <f>'Revenue matching'!AN41</f>
        <v>-0.1707415547963361</v>
      </c>
      <c r="AO21" s="279">
        <f>'Revenue matching'!AO41</f>
        <v>-0.1707415547963361</v>
      </c>
      <c r="AP21" s="267"/>
      <c r="AQ21" s="267"/>
    </row>
    <row r="22" spans="3:43" x14ac:dyDescent="0.3">
      <c r="C22" s="88"/>
      <c r="F22" t="s">
        <v>158</v>
      </c>
      <c r="G22" t="s">
        <v>269</v>
      </c>
      <c r="H22" s="279"/>
      <c r="I22" s="267"/>
      <c r="J22" s="279">
        <f>'Revenue matching'!J42</f>
        <v>6.8790204779568292E-2</v>
      </c>
      <c r="K22" s="279">
        <f>'Revenue matching'!K42</f>
        <v>6.8790204779568292E-2</v>
      </c>
      <c r="L22" s="279">
        <f>'Revenue matching'!L42</f>
        <v>6.2339301049765511E-2</v>
      </c>
      <c r="M22" s="279">
        <f>'Revenue matching'!M42</f>
        <v>6.2339301049765511E-2</v>
      </c>
      <c r="N22" s="279">
        <f>'Revenue matching'!N42</f>
        <v>6.2339301049765511E-2</v>
      </c>
      <c r="O22" s="279">
        <f>'Revenue matching'!O42</f>
        <v>6.2339301049765511E-2</v>
      </c>
      <c r="P22" s="279">
        <f>'Revenue matching'!P42</f>
        <v>6.2339301049765511E-2</v>
      </c>
      <c r="Q22" s="279">
        <f>'Revenue matching'!Q42</f>
        <v>6.2339301049765511E-2</v>
      </c>
      <c r="R22" s="279">
        <f>'Revenue matching'!R42</f>
        <v>3.6117671579289766E-2</v>
      </c>
      <c r="S22" s="279">
        <f>'Revenue matching'!S42</f>
        <v>3.6117671579289766E-2</v>
      </c>
      <c r="T22" s="279">
        <f>'Revenue matching'!T42</f>
        <v>3.6117671579289766E-2</v>
      </c>
      <c r="U22" s="279">
        <f>'Revenue matching'!U42</f>
        <v>3.6117671579289766E-2</v>
      </c>
      <c r="V22" s="279">
        <f>'Revenue matching'!V42</f>
        <v>3.6117671579289766E-2</v>
      </c>
      <c r="W22" s="279">
        <f>'Revenue matching'!W42</f>
        <v>2.1862115772109857E-2</v>
      </c>
      <c r="X22" s="279">
        <f>'Revenue matching'!X42</f>
        <v>2.1862115772109857E-2</v>
      </c>
      <c r="Y22" s="279">
        <f>'Revenue matching'!Y42</f>
        <v>2.1862115772109857E-2</v>
      </c>
      <c r="Z22" s="279">
        <f>'Revenue matching'!Z42</f>
        <v>2.1862115772109857E-2</v>
      </c>
      <c r="AA22" s="279">
        <f>'Revenue matching'!AA42</f>
        <v>2.1862115772109857E-2</v>
      </c>
      <c r="AB22" s="279">
        <f>'Revenue matching'!AB42</f>
        <v>1.1741977572095842E-2</v>
      </c>
      <c r="AC22" s="279">
        <f>'Revenue matching'!AC42</f>
        <v>1.1741977572095842E-2</v>
      </c>
      <c r="AD22" s="279">
        <f>'Revenue matching'!AD42</f>
        <v>1.1741977572095842E-2</v>
      </c>
      <c r="AE22" s="279">
        <f>'Revenue matching'!AE42</f>
        <v>1.1741977572095842E-2</v>
      </c>
      <c r="AF22" s="279">
        <f>'Revenue matching'!AF42</f>
        <v>1.1741977572095842E-2</v>
      </c>
      <c r="AG22" s="279">
        <f>'Revenue matching'!AG42</f>
        <v>1.0655243781382517</v>
      </c>
      <c r="AH22" s="279">
        <f>'Revenue matching'!AH42</f>
        <v>-4.0906104244232938E-2</v>
      </c>
      <c r="AI22" s="279">
        <f>'Revenue matching'!AI42</f>
        <v>-3.4739995085472319E-2</v>
      </c>
      <c r="AJ22" s="279">
        <f>'Revenue matching'!AJ42</f>
        <v>-4.0906104244232938E-2</v>
      </c>
      <c r="AK22" s="279">
        <f>'Revenue matching'!AK42</f>
        <v>-4.0906104244232938E-2</v>
      </c>
      <c r="AL22" s="279">
        <f>'Revenue matching'!AL42</f>
        <v>-3.4739995085472319E-2</v>
      </c>
      <c r="AM22" s="279">
        <f>'Revenue matching'!AM42</f>
        <v>-3.4739995085472319E-2</v>
      </c>
      <c r="AN22" s="279">
        <f>'Revenue matching'!AN42</f>
        <v>-1.55965181875376E-2</v>
      </c>
      <c r="AO22" s="279">
        <f>'Revenue matching'!AO42</f>
        <v>-1.55965181875376E-2</v>
      </c>
      <c r="AP22" s="267"/>
      <c r="AQ22" s="267"/>
    </row>
    <row r="23" spans="3:43" x14ac:dyDescent="0.3">
      <c r="C23" s="88"/>
      <c r="F23" t="s">
        <v>159</v>
      </c>
      <c r="G23" t="s">
        <v>270</v>
      </c>
      <c r="H23" s="51"/>
      <c r="J23" s="120">
        <f>'Revenue matching'!J43</f>
        <v>5.4534871722116378</v>
      </c>
      <c r="K23" s="120">
        <f>'Revenue matching'!K43</f>
        <v>0</v>
      </c>
      <c r="L23" s="120">
        <f>'Revenue matching'!L43</f>
        <v>10.122361344437579</v>
      </c>
      <c r="M23" s="120">
        <f>'Revenue matching'!M43</f>
        <v>10.122361344437579</v>
      </c>
      <c r="N23" s="120">
        <f>'Revenue matching'!N43</f>
        <v>10.122361344437579</v>
      </c>
      <c r="O23" s="120">
        <f>'Revenue matching'!O43</f>
        <v>10.122361344437579</v>
      </c>
      <c r="P23" s="120">
        <f>'Revenue matching'!P43</f>
        <v>10.122361344437579</v>
      </c>
      <c r="Q23" s="120">
        <f>'Revenue matching'!Q43</f>
        <v>0</v>
      </c>
      <c r="R23" s="120">
        <f>'Revenue matching'!R43</f>
        <v>14.136159429500619</v>
      </c>
      <c r="S23" s="120">
        <f>'Revenue matching'!S43</f>
        <v>14.136159429500619</v>
      </c>
      <c r="T23" s="120">
        <f>'Revenue matching'!T43</f>
        <v>14.136159429500619</v>
      </c>
      <c r="U23" s="120">
        <f>'Revenue matching'!U43</f>
        <v>14.136159429500619</v>
      </c>
      <c r="V23" s="120">
        <f>'Revenue matching'!V43</f>
        <v>14.136159429500619</v>
      </c>
      <c r="W23" s="120">
        <f>'Revenue matching'!W43</f>
        <v>11.034791559616068</v>
      </c>
      <c r="X23" s="120">
        <f>'Revenue matching'!X43</f>
        <v>11.034791559616068</v>
      </c>
      <c r="Y23" s="120">
        <f>'Revenue matching'!Y43</f>
        <v>11.034791559616068</v>
      </c>
      <c r="Z23" s="120">
        <f>'Revenue matching'!Z43</f>
        <v>11.034791559616068</v>
      </c>
      <c r="AA23" s="120">
        <f>'Revenue matching'!AA43</f>
        <v>11.034791559616068</v>
      </c>
      <c r="AB23" s="120">
        <f>'Revenue matching'!AB43</f>
        <v>101.87138209179749</v>
      </c>
      <c r="AC23" s="120">
        <f>'Revenue matching'!AC43</f>
        <v>101.87138209179749</v>
      </c>
      <c r="AD23" s="120">
        <f>'Revenue matching'!AD43</f>
        <v>101.87138209179749</v>
      </c>
      <c r="AE23" s="120">
        <f>'Revenue matching'!AE43</f>
        <v>101.87138209179749</v>
      </c>
      <c r="AF23" s="120">
        <f>'Revenue matching'!AF43</f>
        <v>101.87138209179749</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63.755459127934301</v>
      </c>
      <c r="AO23" s="120">
        <f>'Revenue matching'!AO43</f>
        <v>63.755459127934301</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3.9816938198221941</v>
      </c>
      <c r="S24" s="120">
        <f>'Revenue matching'!S44</f>
        <v>3.9816938198221941</v>
      </c>
      <c r="T24" s="120">
        <f>'Revenue matching'!T44</f>
        <v>3.9816938198221941</v>
      </c>
      <c r="U24" s="120">
        <f>'Revenue matching'!U44</f>
        <v>3.9816938198221941</v>
      </c>
      <c r="V24" s="120">
        <f>'Revenue matching'!V44</f>
        <v>3.9816938198221941</v>
      </c>
      <c r="W24" s="120">
        <f>'Revenue matching'!W44</f>
        <v>3.6103184247786979</v>
      </c>
      <c r="X24" s="120">
        <f>'Revenue matching'!X44</f>
        <v>3.6103184247786979</v>
      </c>
      <c r="Y24" s="120">
        <f>'Revenue matching'!Y44</f>
        <v>3.6103184247786979</v>
      </c>
      <c r="Z24" s="120">
        <f>'Revenue matching'!Z44</f>
        <v>3.6103184247786979</v>
      </c>
      <c r="AA24" s="120">
        <f>'Revenue matching'!AA44</f>
        <v>3.6103184247786979</v>
      </c>
      <c r="AB24" s="120">
        <f>'Revenue matching'!AB44</f>
        <v>3.0666881743347854</v>
      </c>
      <c r="AC24" s="120">
        <f>'Revenue matching'!AC44</f>
        <v>3.0666881743347854</v>
      </c>
      <c r="AD24" s="120">
        <f>'Revenue matching'!AD44</f>
        <v>3.0666881743347854</v>
      </c>
      <c r="AE24" s="120">
        <f>'Revenue matching'!AE44</f>
        <v>3.0666881743347854</v>
      </c>
      <c r="AF24" s="120">
        <f>'Revenue matching'!AF44</f>
        <v>3.0666881743347854</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8.2981300945898191</v>
      </c>
      <c r="S25" s="120">
        <f>'Revenue matching'!S45</f>
        <v>8.2981300945898191</v>
      </c>
      <c r="T25" s="120">
        <f>'Revenue matching'!T45</f>
        <v>8.2981300945898191</v>
      </c>
      <c r="U25" s="120">
        <f>'Revenue matching'!U45</f>
        <v>8.2981300945898191</v>
      </c>
      <c r="V25" s="120">
        <f>'Revenue matching'!V45</f>
        <v>8.2981300945898191</v>
      </c>
      <c r="W25" s="120">
        <f>'Revenue matching'!W45</f>
        <v>6.8753494006560389</v>
      </c>
      <c r="X25" s="120">
        <f>'Revenue matching'!X45</f>
        <v>6.8753494006560389</v>
      </c>
      <c r="Y25" s="120">
        <f>'Revenue matching'!Y45</f>
        <v>6.8753494006560389</v>
      </c>
      <c r="Z25" s="120">
        <f>'Revenue matching'!Z45</f>
        <v>6.8753494006560389</v>
      </c>
      <c r="AA25" s="120">
        <f>'Revenue matching'!AA45</f>
        <v>6.8753494006560389</v>
      </c>
      <c r="AB25" s="120">
        <f>'Revenue matching'!AB45</f>
        <v>6.7796855916892635</v>
      </c>
      <c r="AC25" s="120">
        <f>'Revenue matching'!AC45</f>
        <v>6.7796855916892635</v>
      </c>
      <c r="AD25" s="120">
        <f>'Revenue matching'!AD45</f>
        <v>6.7796855916892635</v>
      </c>
      <c r="AE25" s="120">
        <f>'Revenue matching'!AE45</f>
        <v>6.7796855916892635</v>
      </c>
      <c r="AF25" s="120">
        <f>'Revenue matching'!AF45</f>
        <v>6.7796855916892635</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0.117033715439345</v>
      </c>
      <c r="S26" s="283">
        <f>'Revenue matching'!S46</f>
        <v>0.117033715439345</v>
      </c>
      <c r="T26" s="283">
        <f>'Revenue matching'!T46</f>
        <v>0.117033715439345</v>
      </c>
      <c r="U26" s="283">
        <f>'Revenue matching'!U46</f>
        <v>0.117033715439345</v>
      </c>
      <c r="V26" s="283">
        <f>'Revenue matching'!V46</f>
        <v>0.117033715439345</v>
      </c>
      <c r="W26" s="283">
        <f>'Revenue matching'!W46</f>
        <v>7.9592984330242478E-2</v>
      </c>
      <c r="X26" s="283">
        <f>'Revenue matching'!X46</f>
        <v>7.9592984330242478E-2</v>
      </c>
      <c r="Y26" s="283">
        <f>'Revenue matching'!Y46</f>
        <v>7.9592984330242478E-2</v>
      </c>
      <c r="Z26" s="283">
        <f>'Revenue matching'!Z46</f>
        <v>7.9592984330242478E-2</v>
      </c>
      <c r="AA26" s="283">
        <f>'Revenue matching'!AA46</f>
        <v>7.9592984330242478E-2</v>
      </c>
      <c r="AB26" s="283">
        <f>'Revenue matching'!AB46</f>
        <v>5.325913516504404E-2</v>
      </c>
      <c r="AC26" s="283">
        <f>'Revenue matching'!AC46</f>
        <v>5.325913516504404E-2</v>
      </c>
      <c r="AD26" s="283">
        <f>'Revenue matching'!AD46</f>
        <v>5.325913516504404E-2</v>
      </c>
      <c r="AE26" s="283">
        <f>'Revenue matching'!AE46</f>
        <v>5.325913516504404E-2</v>
      </c>
      <c r="AF26" s="283">
        <f>'Revenue matching'!AF46</f>
        <v>5.325913516504404E-2</v>
      </c>
      <c r="AG26" s="283">
        <f>'Revenue matching'!AG46</f>
        <v>0</v>
      </c>
      <c r="AH26" s="283">
        <f>'Revenue matching'!AH46</f>
        <v>0</v>
      </c>
      <c r="AI26" s="283">
        <f>'Revenue matching'!AI46</f>
        <v>0</v>
      </c>
      <c r="AJ26" s="283">
        <f>'Revenue matching'!AJ46</f>
        <v>0.12816320996290698</v>
      </c>
      <c r="AK26" s="283">
        <f>'Revenue matching'!AK46</f>
        <v>0</v>
      </c>
      <c r="AL26" s="283">
        <f>'Revenue matching'!AL46</f>
        <v>0.10282741481374987</v>
      </c>
      <c r="AM26" s="283">
        <f>'Revenue matching'!AM46</f>
        <v>0</v>
      </c>
      <c r="AN26" s="283">
        <f>'Revenue matching'!AN46</f>
        <v>7.8714520399531474E-2</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1.4342507832695321</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1.4342507832695321</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1.4342507832695321</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13.86844966098867</v>
      </c>
      <c r="K35" s="272">
        <f>'Revenue matching'!K415</f>
        <v>0</v>
      </c>
      <c r="L35" s="272">
        <f>'Revenue matching'!L415</f>
        <v>0</v>
      </c>
      <c r="M35" s="272">
        <f>'Revenue matching'!M415</f>
        <v>5.2723001680023582</v>
      </c>
      <c r="N35" s="272">
        <f>'Revenue matching'!N415</f>
        <v>31.427439946049105</v>
      </c>
      <c r="O35" s="272">
        <f>'Revenue matching'!O415</f>
        <v>75.407663729176804</v>
      </c>
      <c r="P35" s="272">
        <f>'Revenue matching'!P415</f>
        <v>243.42280199346297</v>
      </c>
      <c r="Q35" s="272">
        <f>'Revenue matching'!Q415</f>
        <v>0</v>
      </c>
      <c r="R35" s="272">
        <f>'Revenue matching'!R415</f>
        <v>0</v>
      </c>
      <c r="S35" s="272">
        <f>'Revenue matching'!S415</f>
        <v>341.32277096114052</v>
      </c>
      <c r="T35" s="272">
        <f>'Revenue matching'!T415</f>
        <v>676.37398622172111</v>
      </c>
      <c r="U35" s="272">
        <f>'Revenue matching'!U415</f>
        <v>1094.9131318435705</v>
      </c>
      <c r="V35" s="272">
        <f>'Revenue matching'!V415</f>
        <v>2406.456900243571</v>
      </c>
      <c r="W35" s="272">
        <f>'Revenue matching'!W415</f>
        <v>0</v>
      </c>
      <c r="X35" s="272">
        <f>'Revenue matching'!X415</f>
        <v>341.32277096114052</v>
      </c>
      <c r="Y35" s="272">
        <f>'Revenue matching'!Y415</f>
        <v>676.37398622172111</v>
      </c>
      <c r="Z35" s="272">
        <f>'Revenue matching'!Z415</f>
        <v>1094.9131318435707</v>
      </c>
      <c r="AA35" s="272">
        <f>'Revenue matching'!AA415</f>
        <v>2406.4569002435715</v>
      </c>
      <c r="AB35" s="272">
        <f>'Revenue matching'!AB415</f>
        <v>0</v>
      </c>
      <c r="AC35" s="272">
        <f>'Revenue matching'!AC415</f>
        <v>1588.9311006384605</v>
      </c>
      <c r="AD35" s="272">
        <f>'Revenue matching'!AD415</f>
        <v>5963.0708711228253</v>
      </c>
      <c r="AE35" s="272">
        <f>'Revenue matching'!AE415</f>
        <v>12575.60208651649</v>
      </c>
      <c r="AF35" s="272">
        <f>'Revenue matching'!AF415</f>
        <v>32040.564098551135</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9.6510295533601642</v>
      </c>
      <c r="K47" s="121">
        <f>'Revenue matching'!K48</f>
        <v>0</v>
      </c>
      <c r="L47" s="121">
        <f>'Revenue matching'!L48</f>
        <v>9.5234905302665457E-2</v>
      </c>
      <c r="M47" s="121">
        <f>'Revenue matching'!M48</f>
        <v>9.5234905302665457E-2</v>
      </c>
      <c r="N47" s="121">
        <f>'Revenue matching'!N48</f>
        <v>9.5234905302665457E-2</v>
      </c>
      <c r="O47" s="121">
        <f>'Revenue matching'!O48</f>
        <v>9.5234905302665457E-2</v>
      </c>
      <c r="P47" s="121">
        <f>'Revenue matching'!P48</f>
        <v>9.5234905302665457E-2</v>
      </c>
      <c r="Q47" s="121">
        <f>'Revenue matching'!Q48</f>
        <v>0</v>
      </c>
      <c r="R47" s="121">
        <f>'Revenue matching'!R48</f>
        <v>9.5234905302665457E-2</v>
      </c>
      <c r="S47" s="121">
        <f>'Revenue matching'!S48</f>
        <v>9.5234905302665457E-2</v>
      </c>
      <c r="T47" s="121">
        <f>'Revenue matching'!T48</f>
        <v>9.5234905302665457E-2</v>
      </c>
      <c r="U47" s="121">
        <f>'Revenue matching'!U48</f>
        <v>9.5234905302665457E-2</v>
      </c>
      <c r="V47" s="121">
        <f>'Revenue matching'!V48</f>
        <v>9.5234905302665457E-2</v>
      </c>
      <c r="W47" s="121">
        <f>'Revenue matching'!W48</f>
        <v>9.5234905302665457E-2</v>
      </c>
      <c r="X47" s="121">
        <f>'Revenue matching'!X48</f>
        <v>9.5234905302665457E-2</v>
      </c>
      <c r="Y47" s="121">
        <f>'Revenue matching'!Y48</f>
        <v>9.5234905302665457E-2</v>
      </c>
      <c r="Z47" s="121">
        <f>'Revenue matching'!Z48</f>
        <v>9.5234905302665457E-2</v>
      </c>
      <c r="AA47" s="121">
        <f>'Revenue matching'!AA48</f>
        <v>9.5234905302665457E-2</v>
      </c>
      <c r="AB47" s="121">
        <f>'Revenue matching'!AB48</f>
        <v>9.5234905302665457E-2</v>
      </c>
      <c r="AC47" s="121">
        <f>'Revenue matching'!AC48</f>
        <v>9.5234905302665457E-2</v>
      </c>
      <c r="AD47" s="121">
        <f>'Revenue matching'!AD48</f>
        <v>9.5234905302665457E-2</v>
      </c>
      <c r="AE47" s="121">
        <f>'Revenue matching'!AE48</f>
        <v>9.5234905302665457E-2</v>
      </c>
      <c r="AF47" s="121">
        <f>'Revenue matching'!AF48</f>
        <v>9.5234905302665457E-2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0.38089985064832788</v>
      </c>
      <c r="K57" s="343">
        <f>'Volume adjustments'!K315</f>
        <v>0.38089985064832788</v>
      </c>
      <c r="L57" s="343">
        <f>'Volume adjustments'!L315</f>
        <v>0.38089985064832788</v>
      </c>
      <c r="M57" s="343">
        <f>'Volume adjustments'!M315</f>
        <v>0.38089985064832788</v>
      </c>
      <c r="N57" s="343">
        <f>'Volume adjustments'!N315</f>
        <v>0.38089985064832788</v>
      </c>
      <c r="O57" s="343">
        <f>'Volume adjustments'!O315</f>
        <v>0</v>
      </c>
      <c r="P57" s="343">
        <f>'Volume adjustments'!P315</f>
        <v>0</v>
      </c>
      <c r="Q57" s="343">
        <f>'Volume adjustments'!Q315</f>
        <v>0.38089985064832788</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0.38089985064832788</v>
      </c>
      <c r="K58" s="344">
        <f>'Volume adjustments'!K316</f>
        <v>0.38089985064832788</v>
      </c>
      <c r="L58" s="344">
        <f>'Volume adjustments'!L316</f>
        <v>0.38089985064832788</v>
      </c>
      <c r="M58" s="344">
        <f>'Volume adjustments'!M316</f>
        <v>0.38089985064832788</v>
      </c>
      <c r="N58" s="344">
        <f>'Volume adjustments'!N316</f>
        <v>0.38089985064832788</v>
      </c>
      <c r="O58" s="344">
        <f>'Volume adjustments'!O316</f>
        <v>0</v>
      </c>
      <c r="P58" s="344">
        <f>'Volume adjustments'!P316</f>
        <v>0</v>
      </c>
      <c r="Q58" s="344">
        <f>'Volume adjustments'!Q316</f>
        <v>0.38089985064832788</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0.38089985064832788</v>
      </c>
      <c r="K59" s="344">
        <f>'Volume adjustments'!K317</f>
        <v>0.38089985064832788</v>
      </c>
      <c r="L59" s="344">
        <f>'Volume adjustments'!L317</f>
        <v>0.38089985064832788</v>
      </c>
      <c r="M59" s="344">
        <f>'Volume adjustments'!M317</f>
        <v>0.38089985064832788</v>
      </c>
      <c r="N59" s="344">
        <f>'Volume adjustments'!N317</f>
        <v>0.38089985064832788</v>
      </c>
      <c r="O59" s="344">
        <f>'Volume adjustments'!O317</f>
        <v>0</v>
      </c>
      <c r="P59" s="344">
        <f>'Volume adjustments'!P317</f>
        <v>0</v>
      </c>
      <c r="Q59" s="344">
        <f>'Volume adjustments'!Q317</f>
        <v>0.38089985064832788</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0.38089985064832788</v>
      </c>
      <c r="K60" s="344">
        <f>'Volume adjustments'!K318</f>
        <v>0.38089985064832788</v>
      </c>
      <c r="L60" s="344">
        <f>'Volume adjustments'!L318</f>
        <v>0.38089985064832788</v>
      </c>
      <c r="M60" s="344">
        <f>'Volume adjustments'!M318</f>
        <v>0.38089985064832788</v>
      </c>
      <c r="N60" s="344">
        <f>'Volume adjustments'!N318</f>
        <v>0.38089985064832788</v>
      </c>
      <c r="O60" s="344">
        <f>'Volume adjustments'!O318</f>
        <v>0</v>
      </c>
      <c r="P60" s="344">
        <f>'Volume adjustments'!P318</f>
        <v>0</v>
      </c>
      <c r="Q60" s="344">
        <f>'Volume adjustments'!Q318</f>
        <v>0.38089985064832788</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0.38089985064832788</v>
      </c>
      <c r="K61" s="344">
        <f>'Volume adjustments'!K319</f>
        <v>0.38089985064832788</v>
      </c>
      <c r="L61" s="344">
        <f>'Volume adjustments'!L319</f>
        <v>0.38089985064832788</v>
      </c>
      <c r="M61" s="344">
        <f>'Volume adjustments'!M319</f>
        <v>0.38089985064832788</v>
      </c>
      <c r="N61" s="344">
        <f>'Volume adjustments'!N319</f>
        <v>0.38089985064832788</v>
      </c>
      <c r="O61" s="344">
        <f>'Volume adjustments'!O319</f>
        <v>0</v>
      </c>
      <c r="P61" s="344">
        <f>'Volume adjustments'!P319</f>
        <v>0</v>
      </c>
      <c r="Q61" s="344">
        <f>'Volume adjustments'!Q319</f>
        <v>0.38089985064832788</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0.38089985064832788</v>
      </c>
      <c r="K62" s="344">
        <f>'Volume adjustments'!K320</f>
        <v>0.38089985064832788</v>
      </c>
      <c r="L62" s="344">
        <f>'Volume adjustments'!L320</f>
        <v>0.38089985064832788</v>
      </c>
      <c r="M62" s="344">
        <f>'Volume adjustments'!M320</f>
        <v>0.38089985064832788</v>
      </c>
      <c r="N62" s="344">
        <f>'Volume adjustments'!N320</f>
        <v>0.38089985064832788</v>
      </c>
      <c r="O62" s="344">
        <f>'Volume adjustments'!O320</f>
        <v>0</v>
      </c>
      <c r="P62" s="344">
        <f>'Volume adjustments'!P320</f>
        <v>0</v>
      </c>
      <c r="Q62" s="344">
        <f>'Volume adjustments'!Q320</f>
        <v>0.38089985064832788</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0.38089985064832788</v>
      </c>
      <c r="K63" s="345">
        <f>'Volume adjustments'!K321</f>
        <v>0.38089985064832788</v>
      </c>
      <c r="L63" s="345">
        <f>'Volume adjustments'!L321</f>
        <v>0.38089985064832788</v>
      </c>
      <c r="M63" s="345">
        <f>'Volume adjustments'!M321</f>
        <v>0.38089985064832788</v>
      </c>
      <c r="N63" s="345">
        <f>'Volume adjustments'!N321</f>
        <v>0.38089985064832788</v>
      </c>
      <c r="O63" s="345">
        <f>'Volume adjustments'!O321</f>
        <v>0</v>
      </c>
      <c r="P63" s="345">
        <f>'Volume adjustments'!P321</f>
        <v>0</v>
      </c>
      <c r="Q63" s="345">
        <f>'Volume adjustments'!Q321</f>
        <v>0.38089985064832788</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0.57501376699133966</v>
      </c>
      <c r="K66" s="343">
        <f>'Volume adjustments'!K324</f>
        <v>0.57501376699133966</v>
      </c>
      <c r="L66" s="343">
        <f>'Volume adjustments'!L324</f>
        <v>0.57501376699133966</v>
      </c>
      <c r="M66" s="343">
        <f>'Volume adjustments'!M324</f>
        <v>0.57501376699133966</v>
      </c>
      <c r="N66" s="343">
        <f>'Volume adjustments'!N324</f>
        <v>0.57501376699133966</v>
      </c>
      <c r="O66" s="343">
        <f>'Volume adjustments'!O324</f>
        <v>0.30026377203686194</v>
      </c>
      <c r="P66" s="343">
        <f>'Volume adjustments'!P324</f>
        <v>0.17052516507035737</v>
      </c>
      <c r="Q66" s="343">
        <f>'Volume adjustments'!Q324</f>
        <v>0.57501376699133966</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0.57501376699133966</v>
      </c>
      <c r="K67" s="344">
        <f>'Volume adjustments'!K325</f>
        <v>0.57501376699133966</v>
      </c>
      <c r="L67" s="344">
        <f>'Volume adjustments'!L325</f>
        <v>0.57501376699133966</v>
      </c>
      <c r="M67" s="344">
        <f>'Volume adjustments'!M325</f>
        <v>0.57501376699133966</v>
      </c>
      <c r="N67" s="344">
        <f>'Volume adjustments'!N325</f>
        <v>0.57501376699133966</v>
      </c>
      <c r="O67" s="344">
        <f>'Volume adjustments'!O325</f>
        <v>0.30026377203686194</v>
      </c>
      <c r="P67" s="344">
        <f>'Volume adjustments'!P325</f>
        <v>0.17052516507035737</v>
      </c>
      <c r="Q67" s="344">
        <f>'Volume adjustments'!Q325</f>
        <v>0.57501376699133966</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0.57501376699133966</v>
      </c>
      <c r="K68" s="344">
        <f>'Volume adjustments'!K326</f>
        <v>0.57501376699133966</v>
      </c>
      <c r="L68" s="344">
        <f>'Volume adjustments'!L326</f>
        <v>0.57501376699133966</v>
      </c>
      <c r="M68" s="344">
        <f>'Volume adjustments'!M326</f>
        <v>0.57501376699133966</v>
      </c>
      <c r="N68" s="344">
        <f>'Volume adjustments'!N326</f>
        <v>0.57501376699133966</v>
      </c>
      <c r="O68" s="344">
        <f>'Volume adjustments'!O326</f>
        <v>0.30026377203686194</v>
      </c>
      <c r="P68" s="344">
        <f>'Volume adjustments'!P326</f>
        <v>0.17052516507035737</v>
      </c>
      <c r="Q68" s="344">
        <f>'Volume adjustments'!Q326</f>
        <v>0.57501376699133966</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0.57501376699133966</v>
      </c>
      <c r="K69" s="344">
        <f>'Volume adjustments'!K327</f>
        <v>0.57501376699133966</v>
      </c>
      <c r="L69" s="344">
        <f>'Volume adjustments'!L327</f>
        <v>0.57501376699133966</v>
      </c>
      <c r="M69" s="344">
        <f>'Volume adjustments'!M327</f>
        <v>0.57501376699133966</v>
      </c>
      <c r="N69" s="344">
        <f>'Volume adjustments'!N327</f>
        <v>0.57501376699133966</v>
      </c>
      <c r="O69" s="344">
        <f>'Volume adjustments'!O327</f>
        <v>0.30026377203686194</v>
      </c>
      <c r="P69" s="344">
        <f>'Volume adjustments'!P327</f>
        <v>0.17052516507035737</v>
      </c>
      <c r="Q69" s="344">
        <f>'Volume adjustments'!Q327</f>
        <v>0.57501376699133966</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0.57501376699133966</v>
      </c>
      <c r="K70" s="344">
        <f>'Volume adjustments'!K328</f>
        <v>0.57501376699133966</v>
      </c>
      <c r="L70" s="344">
        <f>'Volume adjustments'!L328</f>
        <v>0.57501376699133966</v>
      </c>
      <c r="M70" s="344">
        <f>'Volume adjustments'!M328</f>
        <v>0.57501376699133966</v>
      </c>
      <c r="N70" s="344">
        <f>'Volume adjustments'!N328</f>
        <v>0.57501376699133966</v>
      </c>
      <c r="O70" s="344">
        <f>'Volume adjustments'!O328</f>
        <v>0.30026377203686194</v>
      </c>
      <c r="P70" s="344">
        <f>'Volume adjustments'!P328</f>
        <v>0.17052516507035737</v>
      </c>
      <c r="Q70" s="344">
        <f>'Volume adjustments'!Q328</f>
        <v>0.57501376699133966</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0.57501376699133966</v>
      </c>
      <c r="K71" s="344">
        <f>'Volume adjustments'!K329</f>
        <v>0.57501376699133966</v>
      </c>
      <c r="L71" s="344">
        <f>'Volume adjustments'!L329</f>
        <v>0.57501376699133966</v>
      </c>
      <c r="M71" s="344">
        <f>'Volume adjustments'!M329</f>
        <v>0.57501376699133966</v>
      </c>
      <c r="N71" s="344">
        <f>'Volume adjustments'!N329</f>
        <v>0.57501376699133966</v>
      </c>
      <c r="O71" s="344">
        <f>'Volume adjustments'!O329</f>
        <v>0.30026377203686194</v>
      </c>
      <c r="P71" s="344">
        <f>'Volume adjustments'!P329</f>
        <v>0.17052516507035737</v>
      </c>
      <c r="Q71" s="344">
        <f>'Volume adjustments'!Q329</f>
        <v>0.57501376699133966</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0.57501376699133966</v>
      </c>
      <c r="K72" s="345">
        <f>'Volume adjustments'!K330</f>
        <v>0.57501376699133966</v>
      </c>
      <c r="L72" s="345">
        <f>'Volume adjustments'!L330</f>
        <v>0.57501376699133966</v>
      </c>
      <c r="M72" s="345">
        <f>'Volume adjustments'!M330</f>
        <v>0.57501376699133966</v>
      </c>
      <c r="N72" s="345">
        <f>'Volume adjustments'!N330</f>
        <v>0.57501376699133966</v>
      </c>
      <c r="O72" s="345">
        <f>'Volume adjustments'!O330</f>
        <v>0.30026377203686194</v>
      </c>
      <c r="P72" s="345">
        <f>'Volume adjustments'!P330</f>
        <v>0.17052516507035737</v>
      </c>
      <c r="Q72" s="345">
        <f>'Volume adjustments'!Q330</f>
        <v>0.57501376699133966</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0.38089985064832788</v>
      </c>
      <c r="K75" s="154">
        <f t="shared" ref="K75:AO75" si="0">INDEX($J57:$Y57,K$54)</f>
        <v>0.38089985064832788</v>
      </c>
      <c r="L75" s="154">
        <f t="shared" si="0"/>
        <v>0.38089985064832788</v>
      </c>
      <c r="M75" s="154">
        <f t="shared" si="0"/>
        <v>0.38089985064832788</v>
      </c>
      <c r="N75" s="154">
        <f t="shared" si="0"/>
        <v>0.38089985064832788</v>
      </c>
      <c r="O75" s="154">
        <f t="shared" si="0"/>
        <v>0.38089985064832788</v>
      </c>
      <c r="P75" s="154">
        <f t="shared" si="0"/>
        <v>0.38089985064832788</v>
      </c>
      <c r="Q75" s="154">
        <f t="shared" si="0"/>
        <v>0.38089985064832788</v>
      </c>
      <c r="R75" s="154">
        <f t="shared" si="0"/>
        <v>0.38089985064832788</v>
      </c>
      <c r="S75" s="154">
        <f t="shared" si="0"/>
        <v>0.38089985064832788</v>
      </c>
      <c r="T75" s="154">
        <f t="shared" si="0"/>
        <v>0.38089985064832788</v>
      </c>
      <c r="U75" s="154">
        <f t="shared" si="0"/>
        <v>0.38089985064832788</v>
      </c>
      <c r="V75" s="154">
        <f t="shared" si="0"/>
        <v>0.38089985064832788</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0.38089985064832788</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0.38089985064832788</v>
      </c>
      <c r="K76" s="145">
        <f t="shared" si="1"/>
        <v>0.38089985064832788</v>
      </c>
      <c r="L76" s="145">
        <f t="shared" si="1"/>
        <v>0.38089985064832788</v>
      </c>
      <c r="M76" s="145">
        <f t="shared" si="1"/>
        <v>0.38089985064832788</v>
      </c>
      <c r="N76" s="145">
        <f t="shared" si="1"/>
        <v>0.38089985064832788</v>
      </c>
      <c r="O76" s="145">
        <f t="shared" si="1"/>
        <v>0.38089985064832788</v>
      </c>
      <c r="P76" s="145">
        <f t="shared" si="1"/>
        <v>0.38089985064832788</v>
      </c>
      <c r="Q76" s="145">
        <f t="shared" si="1"/>
        <v>0.38089985064832788</v>
      </c>
      <c r="R76" s="145">
        <f t="shared" si="1"/>
        <v>0.38089985064832788</v>
      </c>
      <c r="S76" s="145">
        <f t="shared" si="1"/>
        <v>0.38089985064832788</v>
      </c>
      <c r="T76" s="145">
        <f t="shared" si="1"/>
        <v>0.38089985064832788</v>
      </c>
      <c r="U76" s="145">
        <f t="shared" si="1"/>
        <v>0.38089985064832788</v>
      </c>
      <c r="V76" s="145">
        <f t="shared" si="1"/>
        <v>0.38089985064832788</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0.38089985064832788</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0.38089985064832788</v>
      </c>
      <c r="K77" s="145">
        <f t="shared" si="2"/>
        <v>0.38089985064832788</v>
      </c>
      <c r="L77" s="145">
        <f t="shared" si="2"/>
        <v>0.38089985064832788</v>
      </c>
      <c r="M77" s="145">
        <f t="shared" si="2"/>
        <v>0.38089985064832788</v>
      </c>
      <c r="N77" s="145">
        <f t="shared" si="2"/>
        <v>0.38089985064832788</v>
      </c>
      <c r="O77" s="145">
        <f t="shared" si="2"/>
        <v>0.38089985064832788</v>
      </c>
      <c r="P77" s="145">
        <f t="shared" si="2"/>
        <v>0.38089985064832788</v>
      </c>
      <c r="Q77" s="145">
        <f t="shared" si="2"/>
        <v>0.38089985064832788</v>
      </c>
      <c r="R77" s="145">
        <f t="shared" si="2"/>
        <v>0.38089985064832788</v>
      </c>
      <c r="S77" s="145">
        <f t="shared" si="2"/>
        <v>0.38089985064832788</v>
      </c>
      <c r="T77" s="145">
        <f t="shared" si="2"/>
        <v>0.38089985064832788</v>
      </c>
      <c r="U77" s="145">
        <f t="shared" si="2"/>
        <v>0.38089985064832788</v>
      </c>
      <c r="V77" s="145">
        <f t="shared" si="2"/>
        <v>0.38089985064832788</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0.38089985064832788</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0.38089985064832788</v>
      </c>
      <c r="K78" s="145">
        <f t="shared" si="3"/>
        <v>0.38089985064832788</v>
      </c>
      <c r="L78" s="145">
        <f t="shared" si="3"/>
        <v>0.38089985064832788</v>
      </c>
      <c r="M78" s="145">
        <f t="shared" si="3"/>
        <v>0.38089985064832788</v>
      </c>
      <c r="N78" s="145">
        <f t="shared" si="3"/>
        <v>0.38089985064832788</v>
      </c>
      <c r="O78" s="145">
        <f t="shared" si="3"/>
        <v>0.38089985064832788</v>
      </c>
      <c r="P78" s="145">
        <f t="shared" si="3"/>
        <v>0.38089985064832788</v>
      </c>
      <c r="Q78" s="145">
        <f t="shared" si="3"/>
        <v>0.38089985064832788</v>
      </c>
      <c r="R78" s="145">
        <f t="shared" si="3"/>
        <v>0.38089985064832788</v>
      </c>
      <c r="S78" s="145">
        <f t="shared" si="3"/>
        <v>0.38089985064832788</v>
      </c>
      <c r="T78" s="145">
        <f t="shared" si="3"/>
        <v>0.38089985064832788</v>
      </c>
      <c r="U78" s="145">
        <f t="shared" si="3"/>
        <v>0.38089985064832788</v>
      </c>
      <c r="V78" s="145">
        <f t="shared" si="3"/>
        <v>0.38089985064832788</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0.38089985064832788</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0.38089985064832788</v>
      </c>
      <c r="K79" s="145">
        <f t="shared" si="4"/>
        <v>0.38089985064832788</v>
      </c>
      <c r="L79" s="145">
        <f t="shared" si="4"/>
        <v>0.38089985064832788</v>
      </c>
      <c r="M79" s="145">
        <f t="shared" si="4"/>
        <v>0.38089985064832788</v>
      </c>
      <c r="N79" s="145">
        <f t="shared" si="4"/>
        <v>0.38089985064832788</v>
      </c>
      <c r="O79" s="145">
        <f t="shared" si="4"/>
        <v>0.38089985064832788</v>
      </c>
      <c r="P79" s="145">
        <f t="shared" si="4"/>
        <v>0.38089985064832788</v>
      </c>
      <c r="Q79" s="145">
        <f t="shared" si="4"/>
        <v>0.38089985064832788</v>
      </c>
      <c r="R79" s="145">
        <f t="shared" si="4"/>
        <v>0.38089985064832788</v>
      </c>
      <c r="S79" s="145">
        <f t="shared" si="4"/>
        <v>0.38089985064832788</v>
      </c>
      <c r="T79" s="145">
        <f t="shared" si="4"/>
        <v>0.38089985064832788</v>
      </c>
      <c r="U79" s="145">
        <f t="shared" si="4"/>
        <v>0.38089985064832788</v>
      </c>
      <c r="V79" s="145">
        <f t="shared" si="4"/>
        <v>0.38089985064832788</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0.38089985064832788</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0.38089985064832788</v>
      </c>
      <c r="K80" s="145">
        <f t="shared" si="5"/>
        <v>0.38089985064832788</v>
      </c>
      <c r="L80" s="145">
        <f t="shared" si="5"/>
        <v>0.38089985064832788</v>
      </c>
      <c r="M80" s="145">
        <f t="shared" si="5"/>
        <v>0.38089985064832788</v>
      </c>
      <c r="N80" s="145">
        <f t="shared" si="5"/>
        <v>0.38089985064832788</v>
      </c>
      <c r="O80" s="145">
        <f t="shared" si="5"/>
        <v>0.38089985064832788</v>
      </c>
      <c r="P80" s="145">
        <f t="shared" si="5"/>
        <v>0.38089985064832788</v>
      </c>
      <c r="Q80" s="145">
        <f t="shared" si="5"/>
        <v>0.38089985064832788</v>
      </c>
      <c r="R80" s="145">
        <f t="shared" si="5"/>
        <v>0.38089985064832788</v>
      </c>
      <c r="S80" s="145">
        <f t="shared" si="5"/>
        <v>0.38089985064832788</v>
      </c>
      <c r="T80" s="145">
        <f t="shared" si="5"/>
        <v>0.38089985064832788</v>
      </c>
      <c r="U80" s="145">
        <f t="shared" si="5"/>
        <v>0.38089985064832788</v>
      </c>
      <c r="V80" s="145">
        <f t="shared" si="5"/>
        <v>0.38089985064832788</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0.38089985064832788</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0.38089985064832788</v>
      </c>
      <c r="K81" s="155">
        <f t="shared" si="6"/>
        <v>0.38089985064832788</v>
      </c>
      <c r="L81" s="155">
        <f t="shared" si="6"/>
        <v>0.38089985064832788</v>
      </c>
      <c r="M81" s="155">
        <f t="shared" si="6"/>
        <v>0.38089985064832788</v>
      </c>
      <c r="N81" s="155">
        <f t="shared" si="6"/>
        <v>0.38089985064832788</v>
      </c>
      <c r="O81" s="155">
        <f t="shared" si="6"/>
        <v>0.38089985064832788</v>
      </c>
      <c r="P81" s="155">
        <f t="shared" si="6"/>
        <v>0.38089985064832788</v>
      </c>
      <c r="Q81" s="155">
        <f t="shared" si="6"/>
        <v>0.38089985064832788</v>
      </c>
      <c r="R81" s="155">
        <f t="shared" si="6"/>
        <v>0.38089985064832788</v>
      </c>
      <c r="S81" s="155">
        <f t="shared" si="6"/>
        <v>0.38089985064832788</v>
      </c>
      <c r="T81" s="155">
        <f t="shared" si="6"/>
        <v>0.38089985064832788</v>
      </c>
      <c r="U81" s="155">
        <f t="shared" si="6"/>
        <v>0.38089985064832788</v>
      </c>
      <c r="V81" s="155">
        <f t="shared" si="6"/>
        <v>0.38089985064832788</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0.38089985064832788</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0.57501376699133966</v>
      </c>
      <c r="K84" s="154">
        <f t="shared" ref="K84:AO84" si="7">INDEX($J66:$Y66,K$54)</f>
        <v>0.57501376699133966</v>
      </c>
      <c r="L84" s="154">
        <f t="shared" si="7"/>
        <v>0.57501376699133966</v>
      </c>
      <c r="M84" s="154">
        <f t="shared" si="7"/>
        <v>0.57501376699133966</v>
      </c>
      <c r="N84" s="154">
        <f t="shared" si="7"/>
        <v>0.57501376699133966</v>
      </c>
      <c r="O84" s="154">
        <f t="shared" si="7"/>
        <v>0.57501376699133966</v>
      </c>
      <c r="P84" s="154">
        <f t="shared" si="7"/>
        <v>0.57501376699133966</v>
      </c>
      <c r="Q84" s="154">
        <f t="shared" si="7"/>
        <v>0.57501376699133966</v>
      </c>
      <c r="R84" s="154">
        <f t="shared" si="7"/>
        <v>0.57501376699133966</v>
      </c>
      <c r="S84" s="154">
        <f t="shared" si="7"/>
        <v>0.57501376699133966</v>
      </c>
      <c r="T84" s="154">
        <f t="shared" si="7"/>
        <v>0.57501376699133966</v>
      </c>
      <c r="U84" s="154">
        <f t="shared" si="7"/>
        <v>0.57501376699133966</v>
      </c>
      <c r="V84" s="154">
        <f t="shared" si="7"/>
        <v>0.57501376699133966</v>
      </c>
      <c r="W84" s="154">
        <f t="shared" si="7"/>
        <v>0.30026377203686194</v>
      </c>
      <c r="X84" s="154">
        <f t="shared" si="7"/>
        <v>0.30026377203686194</v>
      </c>
      <c r="Y84" s="154">
        <f t="shared" si="7"/>
        <v>0.30026377203686194</v>
      </c>
      <c r="Z84" s="154">
        <f t="shared" si="7"/>
        <v>0.30026377203686194</v>
      </c>
      <c r="AA84" s="154">
        <f t="shared" si="7"/>
        <v>0.30026377203686194</v>
      </c>
      <c r="AB84" s="154">
        <f t="shared" si="7"/>
        <v>0.17052516507035737</v>
      </c>
      <c r="AC84" s="154">
        <f t="shared" si="7"/>
        <v>0.17052516507035737</v>
      </c>
      <c r="AD84" s="154">
        <f t="shared" si="7"/>
        <v>0.17052516507035737</v>
      </c>
      <c r="AE84" s="154">
        <f t="shared" si="7"/>
        <v>0.17052516507035737</v>
      </c>
      <c r="AF84" s="154">
        <f t="shared" si="7"/>
        <v>0.17052516507035737</v>
      </c>
      <c r="AG84" s="154">
        <f t="shared" si="7"/>
        <v>0.57501376699133966</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0.57501376699133966</v>
      </c>
      <c r="K85" s="145">
        <f t="shared" si="8"/>
        <v>0.57501376699133966</v>
      </c>
      <c r="L85" s="145">
        <f t="shared" si="8"/>
        <v>0.57501376699133966</v>
      </c>
      <c r="M85" s="145">
        <f t="shared" si="8"/>
        <v>0.57501376699133966</v>
      </c>
      <c r="N85" s="145">
        <f t="shared" si="8"/>
        <v>0.57501376699133966</v>
      </c>
      <c r="O85" s="145">
        <f t="shared" si="8"/>
        <v>0.57501376699133966</v>
      </c>
      <c r="P85" s="145">
        <f t="shared" si="8"/>
        <v>0.57501376699133966</v>
      </c>
      <c r="Q85" s="145">
        <f t="shared" si="8"/>
        <v>0.57501376699133966</v>
      </c>
      <c r="R85" s="145">
        <f t="shared" si="8"/>
        <v>0.57501376699133966</v>
      </c>
      <c r="S85" s="145">
        <f t="shared" si="8"/>
        <v>0.57501376699133966</v>
      </c>
      <c r="T85" s="145">
        <f t="shared" si="8"/>
        <v>0.57501376699133966</v>
      </c>
      <c r="U85" s="145">
        <f t="shared" si="8"/>
        <v>0.57501376699133966</v>
      </c>
      <c r="V85" s="145">
        <f t="shared" si="8"/>
        <v>0.57501376699133966</v>
      </c>
      <c r="W85" s="145">
        <f t="shared" si="8"/>
        <v>0.30026377203686194</v>
      </c>
      <c r="X85" s="145">
        <f t="shared" si="8"/>
        <v>0.30026377203686194</v>
      </c>
      <c r="Y85" s="145">
        <f t="shared" si="8"/>
        <v>0.30026377203686194</v>
      </c>
      <c r="Z85" s="145">
        <f t="shared" si="8"/>
        <v>0.30026377203686194</v>
      </c>
      <c r="AA85" s="145">
        <f t="shared" si="8"/>
        <v>0.30026377203686194</v>
      </c>
      <c r="AB85" s="145">
        <f t="shared" si="8"/>
        <v>0.17052516507035737</v>
      </c>
      <c r="AC85" s="145">
        <f t="shared" si="8"/>
        <v>0.17052516507035737</v>
      </c>
      <c r="AD85" s="145">
        <f t="shared" si="8"/>
        <v>0.17052516507035737</v>
      </c>
      <c r="AE85" s="145">
        <f t="shared" si="8"/>
        <v>0.17052516507035737</v>
      </c>
      <c r="AF85" s="145">
        <f t="shared" si="8"/>
        <v>0.17052516507035737</v>
      </c>
      <c r="AG85" s="145">
        <f t="shared" si="8"/>
        <v>0.57501376699133966</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0.57501376699133966</v>
      </c>
      <c r="K86" s="145">
        <f t="shared" si="9"/>
        <v>0.57501376699133966</v>
      </c>
      <c r="L86" s="145">
        <f t="shared" si="9"/>
        <v>0.57501376699133966</v>
      </c>
      <c r="M86" s="145">
        <f t="shared" si="9"/>
        <v>0.57501376699133966</v>
      </c>
      <c r="N86" s="145">
        <f t="shared" si="9"/>
        <v>0.57501376699133966</v>
      </c>
      <c r="O86" s="145">
        <f t="shared" si="9"/>
        <v>0.57501376699133966</v>
      </c>
      <c r="P86" s="145">
        <f t="shared" si="9"/>
        <v>0.57501376699133966</v>
      </c>
      <c r="Q86" s="145">
        <f t="shared" si="9"/>
        <v>0.57501376699133966</v>
      </c>
      <c r="R86" s="145">
        <f t="shared" si="9"/>
        <v>0.57501376699133966</v>
      </c>
      <c r="S86" s="145">
        <f t="shared" si="9"/>
        <v>0.57501376699133966</v>
      </c>
      <c r="T86" s="145">
        <f t="shared" si="9"/>
        <v>0.57501376699133966</v>
      </c>
      <c r="U86" s="145">
        <f t="shared" si="9"/>
        <v>0.57501376699133966</v>
      </c>
      <c r="V86" s="145">
        <f t="shared" si="9"/>
        <v>0.57501376699133966</v>
      </c>
      <c r="W86" s="145">
        <f t="shared" si="9"/>
        <v>0.30026377203686194</v>
      </c>
      <c r="X86" s="145">
        <f t="shared" si="9"/>
        <v>0.30026377203686194</v>
      </c>
      <c r="Y86" s="145">
        <f t="shared" si="9"/>
        <v>0.30026377203686194</v>
      </c>
      <c r="Z86" s="145">
        <f t="shared" si="9"/>
        <v>0.30026377203686194</v>
      </c>
      <c r="AA86" s="145">
        <f t="shared" si="9"/>
        <v>0.30026377203686194</v>
      </c>
      <c r="AB86" s="145">
        <f t="shared" si="9"/>
        <v>0.17052516507035737</v>
      </c>
      <c r="AC86" s="145">
        <f t="shared" si="9"/>
        <v>0.17052516507035737</v>
      </c>
      <c r="AD86" s="145">
        <f t="shared" si="9"/>
        <v>0.17052516507035737</v>
      </c>
      <c r="AE86" s="145">
        <f t="shared" si="9"/>
        <v>0.17052516507035737</v>
      </c>
      <c r="AF86" s="145">
        <f t="shared" si="9"/>
        <v>0.17052516507035737</v>
      </c>
      <c r="AG86" s="145">
        <f t="shared" si="9"/>
        <v>0.57501376699133966</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0.57501376699133966</v>
      </c>
      <c r="K87" s="145">
        <f t="shared" si="10"/>
        <v>0.57501376699133966</v>
      </c>
      <c r="L87" s="145">
        <f t="shared" si="10"/>
        <v>0.57501376699133966</v>
      </c>
      <c r="M87" s="145">
        <f t="shared" si="10"/>
        <v>0.57501376699133966</v>
      </c>
      <c r="N87" s="145">
        <f t="shared" si="10"/>
        <v>0.57501376699133966</v>
      </c>
      <c r="O87" s="145">
        <f t="shared" si="10"/>
        <v>0.57501376699133966</v>
      </c>
      <c r="P87" s="145">
        <f t="shared" si="10"/>
        <v>0.57501376699133966</v>
      </c>
      <c r="Q87" s="145">
        <f t="shared" si="10"/>
        <v>0.57501376699133966</v>
      </c>
      <c r="R87" s="145">
        <f t="shared" si="10"/>
        <v>0.57501376699133966</v>
      </c>
      <c r="S87" s="145">
        <f t="shared" si="10"/>
        <v>0.57501376699133966</v>
      </c>
      <c r="T87" s="145">
        <f t="shared" si="10"/>
        <v>0.57501376699133966</v>
      </c>
      <c r="U87" s="145">
        <f t="shared" si="10"/>
        <v>0.57501376699133966</v>
      </c>
      <c r="V87" s="145">
        <f t="shared" si="10"/>
        <v>0.57501376699133966</v>
      </c>
      <c r="W87" s="145">
        <f t="shared" si="10"/>
        <v>0.30026377203686194</v>
      </c>
      <c r="X87" s="145">
        <f t="shared" si="10"/>
        <v>0.30026377203686194</v>
      </c>
      <c r="Y87" s="145">
        <f t="shared" si="10"/>
        <v>0.30026377203686194</v>
      </c>
      <c r="Z87" s="145">
        <f t="shared" si="10"/>
        <v>0.30026377203686194</v>
      </c>
      <c r="AA87" s="145">
        <f t="shared" si="10"/>
        <v>0.30026377203686194</v>
      </c>
      <c r="AB87" s="145">
        <f t="shared" si="10"/>
        <v>0.17052516507035737</v>
      </c>
      <c r="AC87" s="145">
        <f t="shared" si="10"/>
        <v>0.17052516507035737</v>
      </c>
      <c r="AD87" s="145">
        <f t="shared" si="10"/>
        <v>0.17052516507035737</v>
      </c>
      <c r="AE87" s="145">
        <f t="shared" si="10"/>
        <v>0.17052516507035737</v>
      </c>
      <c r="AF87" s="145">
        <f t="shared" si="10"/>
        <v>0.17052516507035737</v>
      </c>
      <c r="AG87" s="145">
        <f t="shared" si="10"/>
        <v>0.57501376699133966</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0.57501376699133966</v>
      </c>
      <c r="K88" s="145">
        <f t="shared" si="11"/>
        <v>0.57501376699133966</v>
      </c>
      <c r="L88" s="145">
        <f t="shared" si="11"/>
        <v>0.57501376699133966</v>
      </c>
      <c r="M88" s="145">
        <f t="shared" si="11"/>
        <v>0.57501376699133966</v>
      </c>
      <c r="N88" s="145">
        <f t="shared" si="11"/>
        <v>0.57501376699133966</v>
      </c>
      <c r="O88" s="145">
        <f t="shared" si="11"/>
        <v>0.57501376699133966</v>
      </c>
      <c r="P88" s="145">
        <f t="shared" si="11"/>
        <v>0.57501376699133966</v>
      </c>
      <c r="Q88" s="145">
        <f t="shared" si="11"/>
        <v>0.57501376699133966</v>
      </c>
      <c r="R88" s="145">
        <f t="shared" si="11"/>
        <v>0.57501376699133966</v>
      </c>
      <c r="S88" s="145">
        <f t="shared" si="11"/>
        <v>0.57501376699133966</v>
      </c>
      <c r="T88" s="145">
        <f t="shared" si="11"/>
        <v>0.57501376699133966</v>
      </c>
      <c r="U88" s="145">
        <f t="shared" si="11"/>
        <v>0.57501376699133966</v>
      </c>
      <c r="V88" s="145">
        <f t="shared" si="11"/>
        <v>0.57501376699133966</v>
      </c>
      <c r="W88" s="145">
        <f t="shared" si="11"/>
        <v>0.30026377203686194</v>
      </c>
      <c r="X88" s="145">
        <f t="shared" si="11"/>
        <v>0.30026377203686194</v>
      </c>
      <c r="Y88" s="145">
        <f t="shared" si="11"/>
        <v>0.30026377203686194</v>
      </c>
      <c r="Z88" s="145">
        <f t="shared" si="11"/>
        <v>0.30026377203686194</v>
      </c>
      <c r="AA88" s="145">
        <f t="shared" si="11"/>
        <v>0.30026377203686194</v>
      </c>
      <c r="AB88" s="145">
        <f t="shared" si="11"/>
        <v>0.17052516507035737</v>
      </c>
      <c r="AC88" s="145">
        <f t="shared" si="11"/>
        <v>0.17052516507035737</v>
      </c>
      <c r="AD88" s="145">
        <f t="shared" si="11"/>
        <v>0.17052516507035737</v>
      </c>
      <c r="AE88" s="145">
        <f t="shared" si="11"/>
        <v>0.17052516507035737</v>
      </c>
      <c r="AF88" s="145">
        <f t="shared" si="11"/>
        <v>0.17052516507035737</v>
      </c>
      <c r="AG88" s="145">
        <f t="shared" si="11"/>
        <v>0.57501376699133966</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0.57501376699133966</v>
      </c>
      <c r="K89" s="145">
        <f t="shared" si="12"/>
        <v>0.57501376699133966</v>
      </c>
      <c r="L89" s="145">
        <f t="shared" si="12"/>
        <v>0.57501376699133966</v>
      </c>
      <c r="M89" s="145">
        <f t="shared" si="12"/>
        <v>0.57501376699133966</v>
      </c>
      <c r="N89" s="145">
        <f t="shared" si="12"/>
        <v>0.57501376699133966</v>
      </c>
      <c r="O89" s="145">
        <f t="shared" si="12"/>
        <v>0.57501376699133966</v>
      </c>
      <c r="P89" s="145">
        <f t="shared" si="12"/>
        <v>0.57501376699133966</v>
      </c>
      <c r="Q89" s="145">
        <f t="shared" si="12"/>
        <v>0.57501376699133966</v>
      </c>
      <c r="R89" s="145">
        <f t="shared" si="12"/>
        <v>0.57501376699133966</v>
      </c>
      <c r="S89" s="145">
        <f t="shared" si="12"/>
        <v>0.57501376699133966</v>
      </c>
      <c r="T89" s="145">
        <f t="shared" si="12"/>
        <v>0.57501376699133966</v>
      </c>
      <c r="U89" s="145">
        <f t="shared" si="12"/>
        <v>0.57501376699133966</v>
      </c>
      <c r="V89" s="145">
        <f t="shared" si="12"/>
        <v>0.57501376699133966</v>
      </c>
      <c r="W89" s="145">
        <f t="shared" si="12"/>
        <v>0.30026377203686194</v>
      </c>
      <c r="X89" s="145">
        <f t="shared" si="12"/>
        <v>0.30026377203686194</v>
      </c>
      <c r="Y89" s="145">
        <f t="shared" si="12"/>
        <v>0.30026377203686194</v>
      </c>
      <c r="Z89" s="145">
        <f t="shared" si="12"/>
        <v>0.30026377203686194</v>
      </c>
      <c r="AA89" s="145">
        <f t="shared" si="12"/>
        <v>0.30026377203686194</v>
      </c>
      <c r="AB89" s="145">
        <f t="shared" si="12"/>
        <v>0.17052516507035737</v>
      </c>
      <c r="AC89" s="145">
        <f t="shared" si="12"/>
        <v>0.17052516507035737</v>
      </c>
      <c r="AD89" s="145">
        <f t="shared" si="12"/>
        <v>0.17052516507035737</v>
      </c>
      <c r="AE89" s="145">
        <f t="shared" si="12"/>
        <v>0.17052516507035737</v>
      </c>
      <c r="AF89" s="145">
        <f t="shared" si="12"/>
        <v>0.17052516507035737</v>
      </c>
      <c r="AG89" s="145">
        <f t="shared" si="12"/>
        <v>0.57501376699133966</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0.57501376699133966</v>
      </c>
      <c r="K90" s="155">
        <f t="shared" si="13"/>
        <v>0.57501376699133966</v>
      </c>
      <c r="L90" s="155">
        <f t="shared" si="13"/>
        <v>0.57501376699133966</v>
      </c>
      <c r="M90" s="155">
        <f t="shared" si="13"/>
        <v>0.57501376699133966</v>
      </c>
      <c r="N90" s="155">
        <f t="shared" si="13"/>
        <v>0.57501376699133966</v>
      </c>
      <c r="O90" s="155">
        <f t="shared" si="13"/>
        <v>0.57501376699133966</v>
      </c>
      <c r="P90" s="155">
        <f t="shared" si="13"/>
        <v>0.57501376699133966</v>
      </c>
      <c r="Q90" s="155">
        <f t="shared" si="13"/>
        <v>0.57501376699133966</v>
      </c>
      <c r="R90" s="155">
        <f t="shared" si="13"/>
        <v>0.57501376699133966</v>
      </c>
      <c r="S90" s="155">
        <f t="shared" si="13"/>
        <v>0.57501376699133966</v>
      </c>
      <c r="T90" s="155">
        <f t="shared" si="13"/>
        <v>0.57501376699133966</v>
      </c>
      <c r="U90" s="155">
        <f t="shared" si="13"/>
        <v>0.57501376699133966</v>
      </c>
      <c r="V90" s="155">
        <f t="shared" si="13"/>
        <v>0.57501376699133966</v>
      </c>
      <c r="W90" s="155">
        <f t="shared" si="13"/>
        <v>0.30026377203686194</v>
      </c>
      <c r="X90" s="155">
        <f t="shared" si="13"/>
        <v>0.30026377203686194</v>
      </c>
      <c r="Y90" s="155">
        <f t="shared" si="13"/>
        <v>0.30026377203686194</v>
      </c>
      <c r="Z90" s="155">
        <f t="shared" si="13"/>
        <v>0.30026377203686194</v>
      </c>
      <c r="AA90" s="155">
        <f t="shared" si="13"/>
        <v>0.30026377203686194</v>
      </c>
      <c r="AB90" s="155">
        <f t="shared" si="13"/>
        <v>0.17052516507035737</v>
      </c>
      <c r="AC90" s="155">
        <f t="shared" si="13"/>
        <v>0.17052516507035737</v>
      </c>
      <c r="AD90" s="155">
        <f t="shared" si="13"/>
        <v>0.17052516507035737</v>
      </c>
      <c r="AE90" s="155">
        <f t="shared" si="13"/>
        <v>0.17052516507035737</v>
      </c>
      <c r="AF90" s="155">
        <f t="shared" si="13"/>
        <v>0.17052516507035737</v>
      </c>
      <c r="AG90" s="155">
        <f t="shared" si="13"/>
        <v>0.57501376699133966</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14.404584738069387</v>
      </c>
      <c r="K110" s="281">
        <f t="shared" ref="K110:AO110" si="14" xml:space="preserve"> K20 + K32</f>
        <v>14.404584738069387</v>
      </c>
      <c r="L110" s="281">
        <f t="shared" si="14"/>
        <v>13.053773387662252</v>
      </c>
      <c r="M110" s="281">
        <f t="shared" si="14"/>
        <v>13.053773387662252</v>
      </c>
      <c r="N110" s="281">
        <f t="shared" si="14"/>
        <v>13.053773387662252</v>
      </c>
      <c r="O110" s="281">
        <f t="shared" si="14"/>
        <v>13.053773387662252</v>
      </c>
      <c r="P110" s="281">
        <f t="shared" si="14"/>
        <v>13.053773387662252</v>
      </c>
      <c r="Q110" s="281">
        <f t="shared" si="14"/>
        <v>13.053773387662252</v>
      </c>
      <c r="R110" s="281">
        <f t="shared" si="14"/>
        <v>8.4072143362764926</v>
      </c>
      <c r="S110" s="281">
        <f t="shared" si="14"/>
        <v>8.4072143362764926</v>
      </c>
      <c r="T110" s="281">
        <f t="shared" si="14"/>
        <v>8.4072143362764926</v>
      </c>
      <c r="U110" s="281">
        <f t="shared" si="14"/>
        <v>8.4072143362764926</v>
      </c>
      <c r="V110" s="281">
        <f t="shared" si="14"/>
        <v>8.4072143362764926</v>
      </c>
      <c r="W110" s="281">
        <f t="shared" si="14"/>
        <v>6.5529368444037495</v>
      </c>
      <c r="X110" s="281">
        <f t="shared" si="14"/>
        <v>6.5529368444037495</v>
      </c>
      <c r="Y110" s="281">
        <f t="shared" si="14"/>
        <v>6.5529368444037495</v>
      </c>
      <c r="Z110" s="281">
        <f t="shared" si="14"/>
        <v>6.5529368444037495</v>
      </c>
      <c r="AA110" s="281">
        <f t="shared" si="14"/>
        <v>6.5529368444037495</v>
      </c>
      <c r="AB110" s="281">
        <f t="shared" si="14"/>
        <v>4.8030608077080501</v>
      </c>
      <c r="AC110" s="281">
        <f t="shared" si="14"/>
        <v>4.8030608077080501</v>
      </c>
      <c r="AD110" s="281">
        <f t="shared" si="14"/>
        <v>4.8030608077080501</v>
      </c>
      <c r="AE110" s="281">
        <f t="shared" si="14"/>
        <v>4.8030608077080501</v>
      </c>
      <c r="AF110" s="281">
        <f t="shared" si="14"/>
        <v>4.8030608077080501</v>
      </c>
      <c r="AG110" s="281">
        <f t="shared" si="14"/>
        <v>38.110077463742265</v>
      </c>
      <c r="AH110" s="281">
        <f t="shared" si="14"/>
        <v>-8.5656881932319084</v>
      </c>
      <c r="AI110" s="281">
        <f t="shared" si="14"/>
        <v>-7.756691054523416</v>
      </c>
      <c r="AJ110" s="281">
        <f t="shared" si="14"/>
        <v>-8.5656881932319084</v>
      </c>
      <c r="AK110" s="281">
        <f t="shared" si="14"/>
        <v>-8.5656881932319084</v>
      </c>
      <c r="AL110" s="281">
        <f t="shared" si="14"/>
        <v>-7.756691054523416</v>
      </c>
      <c r="AM110" s="281">
        <f t="shared" si="14"/>
        <v>-7.756691054523416</v>
      </c>
      <c r="AN110" s="281">
        <f t="shared" si="14"/>
        <v>-5.2246528598629354</v>
      </c>
      <c r="AO110" s="281">
        <f t="shared" si="14"/>
        <v>-5.2246528598629354</v>
      </c>
      <c r="AP110" s="267"/>
      <c r="AQ110" s="267"/>
    </row>
    <row r="111" spans="2:43" x14ac:dyDescent="0.3">
      <c r="D111"/>
      <c r="E111" s="88"/>
      <c r="F111" t="s">
        <v>157</v>
      </c>
      <c r="G111" t="s">
        <v>269</v>
      </c>
      <c r="H111" s="279"/>
      <c r="I111" s="267"/>
      <c r="J111" s="282">
        <f t="shared" ref="J111" si="15" xml:space="preserve"> J21 + J33</f>
        <v>0.72371799810694781</v>
      </c>
      <c r="K111" s="282">
        <f t="shared" ref="K111:AO111" si="16" xml:space="preserve"> K21 + K33</f>
        <v>0.72371799810694781</v>
      </c>
      <c r="L111" s="282">
        <f t="shared" si="16"/>
        <v>0.65585026681767888</v>
      </c>
      <c r="M111" s="282">
        <f t="shared" si="16"/>
        <v>0.65585026681767888</v>
      </c>
      <c r="N111" s="282">
        <f t="shared" si="16"/>
        <v>0.65585026681767888</v>
      </c>
      <c r="O111" s="282">
        <f t="shared" si="16"/>
        <v>0.65585026681767888</v>
      </c>
      <c r="P111" s="282">
        <f t="shared" si="16"/>
        <v>0.65585026681767888</v>
      </c>
      <c r="Q111" s="282">
        <f t="shared" si="16"/>
        <v>0.65585026681767888</v>
      </c>
      <c r="R111" s="282">
        <f t="shared" si="16"/>
        <v>0.38262023285484648</v>
      </c>
      <c r="S111" s="282">
        <f t="shared" si="16"/>
        <v>0.38262023285484648</v>
      </c>
      <c r="T111" s="282">
        <f t="shared" si="16"/>
        <v>0.38262023285484648</v>
      </c>
      <c r="U111" s="282">
        <f t="shared" si="16"/>
        <v>0.38262023285484648</v>
      </c>
      <c r="V111" s="282">
        <f t="shared" si="16"/>
        <v>0.38262023285484648</v>
      </c>
      <c r="W111" s="282">
        <f t="shared" si="16"/>
        <v>0.2361769239194762</v>
      </c>
      <c r="X111" s="282">
        <f t="shared" si="16"/>
        <v>0.2361769239194762</v>
      </c>
      <c r="Y111" s="282">
        <f t="shared" si="16"/>
        <v>0.2361769239194762</v>
      </c>
      <c r="Z111" s="282">
        <f t="shared" si="16"/>
        <v>0.2361769239194762</v>
      </c>
      <c r="AA111" s="282">
        <f t="shared" si="16"/>
        <v>0.2361769239194762</v>
      </c>
      <c r="AB111" s="282">
        <f t="shared" si="16"/>
        <v>0.1314028636233896</v>
      </c>
      <c r="AC111" s="282">
        <f t="shared" si="16"/>
        <v>0.1314028636233896</v>
      </c>
      <c r="AD111" s="282">
        <f t="shared" si="16"/>
        <v>0.1314028636233896</v>
      </c>
      <c r="AE111" s="282">
        <f t="shared" si="16"/>
        <v>0.1314028636233896</v>
      </c>
      <c r="AF111" s="282">
        <f t="shared" si="16"/>
        <v>0.1314028636233896</v>
      </c>
      <c r="AG111" s="282">
        <f t="shared" si="16"/>
        <v>3.4180087810017401</v>
      </c>
      <c r="AH111" s="282">
        <f t="shared" si="16"/>
        <v>-0.43035900196627064</v>
      </c>
      <c r="AI111" s="282">
        <f t="shared" si="16"/>
        <v>-0.36699458766190662</v>
      </c>
      <c r="AJ111" s="282">
        <f t="shared" si="16"/>
        <v>-0.43035900196627064</v>
      </c>
      <c r="AK111" s="282">
        <f t="shared" si="16"/>
        <v>-0.43035900196627064</v>
      </c>
      <c r="AL111" s="282">
        <f t="shared" si="16"/>
        <v>-0.36699458766190662</v>
      </c>
      <c r="AM111" s="282">
        <f t="shared" si="16"/>
        <v>-0.36699458766190662</v>
      </c>
      <c r="AN111" s="282">
        <f t="shared" si="16"/>
        <v>-0.1707415547963361</v>
      </c>
      <c r="AO111" s="282">
        <f t="shared" si="16"/>
        <v>-0.1707415547963361</v>
      </c>
      <c r="AP111" s="267"/>
      <c r="AQ111" s="267"/>
    </row>
    <row r="112" spans="2:43" x14ac:dyDescent="0.3">
      <c r="D112"/>
      <c r="E112" s="88"/>
      <c r="F112" t="s">
        <v>158</v>
      </c>
      <c r="G112" t="s">
        <v>269</v>
      </c>
      <c r="H112" s="279"/>
      <c r="I112" s="267"/>
      <c r="J112" s="282">
        <f t="shared" ref="J112" si="17" xml:space="preserve"> J22 + J34</f>
        <v>6.8790204779568292E-2</v>
      </c>
      <c r="K112" s="282">
        <f t="shared" ref="K112:AO112" si="18" xml:space="preserve"> K22 + K34</f>
        <v>6.8790204779568292E-2</v>
      </c>
      <c r="L112" s="282">
        <f t="shared" si="18"/>
        <v>6.2339301049765511E-2</v>
      </c>
      <c r="M112" s="282">
        <f t="shared" si="18"/>
        <v>6.2339301049765511E-2</v>
      </c>
      <c r="N112" s="282">
        <f t="shared" si="18"/>
        <v>6.2339301049765511E-2</v>
      </c>
      <c r="O112" s="282">
        <f t="shared" si="18"/>
        <v>6.2339301049765511E-2</v>
      </c>
      <c r="P112" s="282">
        <f t="shared" si="18"/>
        <v>6.2339301049765511E-2</v>
      </c>
      <c r="Q112" s="282">
        <f t="shared" si="18"/>
        <v>6.2339301049765511E-2</v>
      </c>
      <c r="R112" s="282">
        <f t="shared" si="18"/>
        <v>3.6117671579289766E-2</v>
      </c>
      <c r="S112" s="282">
        <f t="shared" si="18"/>
        <v>3.6117671579289766E-2</v>
      </c>
      <c r="T112" s="282">
        <f t="shared" si="18"/>
        <v>3.6117671579289766E-2</v>
      </c>
      <c r="U112" s="282">
        <f t="shared" si="18"/>
        <v>3.6117671579289766E-2</v>
      </c>
      <c r="V112" s="282">
        <f t="shared" si="18"/>
        <v>3.6117671579289766E-2</v>
      </c>
      <c r="W112" s="282">
        <f t="shared" si="18"/>
        <v>2.1862115772109857E-2</v>
      </c>
      <c r="X112" s="282">
        <f t="shared" si="18"/>
        <v>2.1862115772109857E-2</v>
      </c>
      <c r="Y112" s="282">
        <f t="shared" si="18"/>
        <v>2.1862115772109857E-2</v>
      </c>
      <c r="Z112" s="282">
        <f t="shared" si="18"/>
        <v>2.1862115772109857E-2</v>
      </c>
      <c r="AA112" s="282">
        <f t="shared" si="18"/>
        <v>2.1862115772109857E-2</v>
      </c>
      <c r="AB112" s="282">
        <f t="shared" si="18"/>
        <v>1.1741977572095842E-2</v>
      </c>
      <c r="AC112" s="282">
        <f t="shared" si="18"/>
        <v>1.1741977572095842E-2</v>
      </c>
      <c r="AD112" s="282">
        <f t="shared" si="18"/>
        <v>1.1741977572095842E-2</v>
      </c>
      <c r="AE112" s="282">
        <f t="shared" si="18"/>
        <v>1.1741977572095842E-2</v>
      </c>
      <c r="AF112" s="282">
        <f t="shared" si="18"/>
        <v>1.1741977572095842E-2</v>
      </c>
      <c r="AG112" s="282">
        <f t="shared" si="18"/>
        <v>2.4997751614077837</v>
      </c>
      <c r="AH112" s="282">
        <f t="shared" si="18"/>
        <v>-4.0906104244232938E-2</v>
      </c>
      <c r="AI112" s="282">
        <f t="shared" si="18"/>
        <v>-3.4739995085472319E-2</v>
      </c>
      <c r="AJ112" s="282">
        <f t="shared" si="18"/>
        <v>-4.0906104244232938E-2</v>
      </c>
      <c r="AK112" s="282">
        <f t="shared" si="18"/>
        <v>-4.0906104244232938E-2</v>
      </c>
      <c r="AL112" s="282">
        <f t="shared" si="18"/>
        <v>-3.4739995085472319E-2</v>
      </c>
      <c r="AM112" s="282">
        <f t="shared" si="18"/>
        <v>-3.4739995085472319E-2</v>
      </c>
      <c r="AN112" s="282">
        <f t="shared" si="18"/>
        <v>-1.55965181875376E-2</v>
      </c>
      <c r="AO112" s="282">
        <f t="shared" si="18"/>
        <v>-1.55965181875376E-2</v>
      </c>
      <c r="AP112" s="267"/>
      <c r="AQ112" s="267"/>
    </row>
    <row r="113" spans="3:43" x14ac:dyDescent="0.3">
      <c r="D113"/>
      <c r="E113" s="88"/>
      <c r="F113" t="s">
        <v>159</v>
      </c>
      <c r="G113" t="s">
        <v>270</v>
      </c>
      <c r="H113" s="51"/>
      <c r="J113" s="98">
        <f t="shared" ref="J113" si="19" xml:space="preserve"> J23 + J35</f>
        <v>19.321936833200308</v>
      </c>
      <c r="K113" s="98">
        <f t="shared" ref="K113:AO113" si="20" xml:space="preserve"> K23 + K35</f>
        <v>0</v>
      </c>
      <c r="L113" s="98">
        <f t="shared" si="20"/>
        <v>10.122361344437579</v>
      </c>
      <c r="M113" s="98">
        <f t="shared" si="20"/>
        <v>15.394661512439937</v>
      </c>
      <c r="N113" s="98">
        <f t="shared" si="20"/>
        <v>41.549801290486684</v>
      </c>
      <c r="O113" s="98">
        <f t="shared" si="20"/>
        <v>85.530025073614382</v>
      </c>
      <c r="P113" s="98">
        <f t="shared" si="20"/>
        <v>253.54516333790053</v>
      </c>
      <c r="Q113" s="98">
        <f t="shared" si="20"/>
        <v>0</v>
      </c>
      <c r="R113" s="98">
        <f t="shared" si="20"/>
        <v>14.136159429500619</v>
      </c>
      <c r="S113" s="98">
        <f t="shared" si="20"/>
        <v>355.45893039064111</v>
      </c>
      <c r="T113" s="98">
        <f t="shared" si="20"/>
        <v>690.51014565122171</v>
      </c>
      <c r="U113" s="98">
        <f t="shared" si="20"/>
        <v>1109.049291273071</v>
      </c>
      <c r="V113" s="98">
        <f t="shared" si="20"/>
        <v>2420.5930596730718</v>
      </c>
      <c r="W113" s="98">
        <f t="shared" si="20"/>
        <v>11.034791559616068</v>
      </c>
      <c r="X113" s="98">
        <f t="shared" si="20"/>
        <v>352.35756252075657</v>
      </c>
      <c r="Y113" s="98">
        <f t="shared" si="20"/>
        <v>687.40877778133722</v>
      </c>
      <c r="Z113" s="98">
        <f t="shared" si="20"/>
        <v>1105.9479234031867</v>
      </c>
      <c r="AA113" s="98">
        <f t="shared" si="20"/>
        <v>2417.4916918031877</v>
      </c>
      <c r="AB113" s="98">
        <f t="shared" si="20"/>
        <v>101.87138209179749</v>
      </c>
      <c r="AC113" s="98">
        <f t="shared" si="20"/>
        <v>1690.8024827302579</v>
      </c>
      <c r="AD113" s="98">
        <f t="shared" si="20"/>
        <v>6064.9422532146227</v>
      </c>
      <c r="AE113" s="98">
        <f t="shared" si="20"/>
        <v>12677.473468608288</v>
      </c>
      <c r="AF113" s="98">
        <f t="shared" si="20"/>
        <v>32142.435480642933</v>
      </c>
      <c r="AG113" s="98">
        <f t="shared" si="20"/>
        <v>0</v>
      </c>
      <c r="AH113" s="98">
        <f t="shared" si="20"/>
        <v>0</v>
      </c>
      <c r="AI113" s="98">
        <f t="shared" si="20"/>
        <v>0</v>
      </c>
      <c r="AJ113" s="98">
        <f t="shared" si="20"/>
        <v>0</v>
      </c>
      <c r="AK113" s="98">
        <f t="shared" si="20"/>
        <v>0</v>
      </c>
      <c r="AL113" s="98">
        <f t="shared" si="20"/>
        <v>0</v>
      </c>
      <c r="AM113" s="98">
        <f t="shared" si="20"/>
        <v>0</v>
      </c>
      <c r="AN113" s="98">
        <f t="shared" si="20"/>
        <v>63.755459127934301</v>
      </c>
      <c r="AO113" s="98">
        <f t="shared" si="20"/>
        <v>63.755459127934301</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3.9816938198221941</v>
      </c>
      <c r="S114" s="98">
        <f t="shared" si="22"/>
        <v>3.9816938198221941</v>
      </c>
      <c r="T114" s="98">
        <f t="shared" si="22"/>
        <v>3.9816938198221941</v>
      </c>
      <c r="U114" s="98">
        <f t="shared" si="22"/>
        <v>3.9816938198221941</v>
      </c>
      <c r="V114" s="98">
        <f t="shared" si="22"/>
        <v>3.9816938198221941</v>
      </c>
      <c r="W114" s="98">
        <f t="shared" si="22"/>
        <v>3.6103184247786979</v>
      </c>
      <c r="X114" s="98">
        <f t="shared" si="22"/>
        <v>3.6103184247786979</v>
      </c>
      <c r="Y114" s="98">
        <f t="shared" si="22"/>
        <v>3.6103184247786979</v>
      </c>
      <c r="Z114" s="98">
        <f t="shared" si="22"/>
        <v>3.6103184247786979</v>
      </c>
      <c r="AA114" s="98">
        <f t="shared" si="22"/>
        <v>3.6103184247786979</v>
      </c>
      <c r="AB114" s="98">
        <f t="shared" si="22"/>
        <v>3.0666881743347854</v>
      </c>
      <c r="AC114" s="98">
        <f t="shared" si="22"/>
        <v>3.0666881743347854</v>
      </c>
      <c r="AD114" s="98">
        <f t="shared" si="22"/>
        <v>3.0666881743347854</v>
      </c>
      <c r="AE114" s="98">
        <f t="shared" si="22"/>
        <v>3.0666881743347854</v>
      </c>
      <c r="AF114" s="98">
        <f t="shared" si="22"/>
        <v>3.0666881743347854</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8.2981300945898191</v>
      </c>
      <c r="S115" s="98">
        <f t="shared" si="24"/>
        <v>8.2981300945898191</v>
      </c>
      <c r="T115" s="98">
        <f t="shared" si="24"/>
        <v>8.2981300945898191</v>
      </c>
      <c r="U115" s="98">
        <f t="shared" si="24"/>
        <v>8.2981300945898191</v>
      </c>
      <c r="V115" s="98">
        <f t="shared" si="24"/>
        <v>8.2981300945898191</v>
      </c>
      <c r="W115" s="98">
        <f t="shared" si="24"/>
        <v>6.8753494006560389</v>
      </c>
      <c r="X115" s="98">
        <f t="shared" si="24"/>
        <v>6.8753494006560389</v>
      </c>
      <c r="Y115" s="98">
        <f t="shared" si="24"/>
        <v>6.8753494006560389</v>
      </c>
      <c r="Z115" s="98">
        <f t="shared" si="24"/>
        <v>6.8753494006560389</v>
      </c>
      <c r="AA115" s="98">
        <f t="shared" si="24"/>
        <v>6.8753494006560389</v>
      </c>
      <c r="AB115" s="98">
        <f t="shared" si="24"/>
        <v>6.7796855916892635</v>
      </c>
      <c r="AC115" s="98">
        <f t="shared" si="24"/>
        <v>6.7796855916892635</v>
      </c>
      <c r="AD115" s="98">
        <f t="shared" si="24"/>
        <v>6.7796855916892635</v>
      </c>
      <c r="AE115" s="98">
        <f t="shared" si="24"/>
        <v>6.7796855916892635</v>
      </c>
      <c r="AF115" s="98">
        <f t="shared" si="24"/>
        <v>6.7796855916892635</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0.117033715439345</v>
      </c>
      <c r="S116" s="284">
        <f t="shared" si="26"/>
        <v>0.117033715439345</v>
      </c>
      <c r="T116" s="284">
        <f t="shared" si="26"/>
        <v>0.117033715439345</v>
      </c>
      <c r="U116" s="284">
        <f t="shared" si="26"/>
        <v>0.117033715439345</v>
      </c>
      <c r="V116" s="284">
        <f t="shared" si="26"/>
        <v>0.117033715439345</v>
      </c>
      <c r="W116" s="284">
        <f t="shared" si="26"/>
        <v>7.9592984330242478E-2</v>
      </c>
      <c r="X116" s="284">
        <f t="shared" si="26"/>
        <v>7.9592984330242478E-2</v>
      </c>
      <c r="Y116" s="284">
        <f t="shared" si="26"/>
        <v>7.9592984330242478E-2</v>
      </c>
      <c r="Z116" s="284">
        <f t="shared" si="26"/>
        <v>7.9592984330242478E-2</v>
      </c>
      <c r="AA116" s="284">
        <f t="shared" si="26"/>
        <v>7.9592984330242478E-2</v>
      </c>
      <c r="AB116" s="284">
        <f t="shared" si="26"/>
        <v>5.325913516504404E-2</v>
      </c>
      <c r="AC116" s="284">
        <f t="shared" si="26"/>
        <v>5.325913516504404E-2</v>
      </c>
      <c r="AD116" s="284">
        <f t="shared" si="26"/>
        <v>5.325913516504404E-2</v>
      </c>
      <c r="AE116" s="284">
        <f t="shared" si="26"/>
        <v>5.325913516504404E-2</v>
      </c>
      <c r="AF116" s="284">
        <f t="shared" si="26"/>
        <v>5.325913516504404E-2</v>
      </c>
      <c r="AG116" s="284">
        <f t="shared" si="26"/>
        <v>0</v>
      </c>
      <c r="AH116" s="284">
        <f t="shared" si="26"/>
        <v>0</v>
      </c>
      <c r="AI116" s="284">
        <f t="shared" si="26"/>
        <v>0</v>
      </c>
      <c r="AJ116" s="284">
        <f t="shared" si="26"/>
        <v>0.12816320996290698</v>
      </c>
      <c r="AK116" s="284">
        <f t="shared" si="26"/>
        <v>0</v>
      </c>
      <c r="AL116" s="284">
        <f t="shared" si="26"/>
        <v>0.10282741481374987</v>
      </c>
      <c r="AM116" s="284">
        <f t="shared" si="26"/>
        <v>0</v>
      </c>
      <c r="AN116" s="284">
        <f t="shared" si="26"/>
        <v>7.8714520399531474E-2</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14.404584738069387</v>
      </c>
      <c r="K121" s="328">
        <f t="shared" ref="K121:AO121" si="27" xml:space="preserve"> K110 + K44</f>
        <v>14.404584738069387</v>
      </c>
      <c r="L121" s="328">
        <f t="shared" si="27"/>
        <v>13.053773387662252</v>
      </c>
      <c r="M121" s="328">
        <f t="shared" si="27"/>
        <v>13.053773387662252</v>
      </c>
      <c r="N121" s="328">
        <f t="shared" si="27"/>
        <v>13.053773387662252</v>
      </c>
      <c r="O121" s="328">
        <f t="shared" si="27"/>
        <v>13.053773387662252</v>
      </c>
      <c r="P121" s="328">
        <f t="shared" si="27"/>
        <v>13.053773387662252</v>
      </c>
      <c r="Q121" s="328">
        <f t="shared" si="27"/>
        <v>13.053773387662252</v>
      </c>
      <c r="R121" s="328">
        <f t="shared" si="27"/>
        <v>8.4072143362764926</v>
      </c>
      <c r="S121" s="328">
        <f t="shared" si="27"/>
        <v>8.4072143362764926</v>
      </c>
      <c r="T121" s="328">
        <f t="shared" si="27"/>
        <v>8.4072143362764926</v>
      </c>
      <c r="U121" s="328">
        <f t="shared" si="27"/>
        <v>8.4072143362764926</v>
      </c>
      <c r="V121" s="328">
        <f t="shared" si="27"/>
        <v>8.4072143362764926</v>
      </c>
      <c r="W121" s="328">
        <f t="shared" si="27"/>
        <v>6.5529368444037495</v>
      </c>
      <c r="X121" s="328">
        <f t="shared" si="27"/>
        <v>6.5529368444037495</v>
      </c>
      <c r="Y121" s="328">
        <f t="shared" si="27"/>
        <v>6.5529368444037495</v>
      </c>
      <c r="Z121" s="328">
        <f t="shared" si="27"/>
        <v>6.5529368444037495</v>
      </c>
      <c r="AA121" s="328">
        <f t="shared" si="27"/>
        <v>6.5529368444037495</v>
      </c>
      <c r="AB121" s="328">
        <f t="shared" si="27"/>
        <v>4.8030608077080501</v>
      </c>
      <c r="AC121" s="328">
        <f t="shared" si="27"/>
        <v>4.8030608077080501</v>
      </c>
      <c r="AD121" s="328">
        <f t="shared" si="27"/>
        <v>4.8030608077080501</v>
      </c>
      <c r="AE121" s="328">
        <f t="shared" si="27"/>
        <v>4.8030608077080501</v>
      </c>
      <c r="AF121" s="328">
        <f t="shared" si="27"/>
        <v>4.8030608077080501</v>
      </c>
      <c r="AG121" s="328">
        <f t="shared" si="27"/>
        <v>38.110077463742265</v>
      </c>
      <c r="AH121" s="328">
        <f t="shared" si="27"/>
        <v>-8.5656881932319084</v>
      </c>
      <c r="AI121" s="328">
        <f t="shared" si="27"/>
        <v>-7.756691054523416</v>
      </c>
      <c r="AJ121" s="328">
        <f t="shared" si="27"/>
        <v>-8.5656881932319084</v>
      </c>
      <c r="AK121" s="328">
        <f t="shared" si="27"/>
        <v>-8.5656881932319084</v>
      </c>
      <c r="AL121" s="328">
        <f t="shared" si="27"/>
        <v>-7.756691054523416</v>
      </c>
      <c r="AM121" s="328">
        <f t="shared" si="27"/>
        <v>-7.756691054523416</v>
      </c>
      <c r="AN121" s="328">
        <f t="shared" si="27"/>
        <v>-5.2246528598629354</v>
      </c>
      <c r="AO121" s="328">
        <f t="shared" si="27"/>
        <v>-5.2246528598629354</v>
      </c>
      <c r="AP121" s="267"/>
      <c r="AQ121" s="267"/>
    </row>
    <row r="122" spans="3:43" x14ac:dyDescent="0.3">
      <c r="E122" s="88"/>
      <c r="F122" t="s">
        <v>157</v>
      </c>
      <c r="G122" t="s">
        <v>269</v>
      </c>
      <c r="H122" s="279"/>
      <c r="I122" s="267"/>
      <c r="J122" s="329">
        <f t="shared" ref="J122" si="28" xml:space="preserve"> J111 + J45</f>
        <v>0.72371799810694781</v>
      </c>
      <c r="K122" s="329">
        <f t="shared" ref="K122:AO122" si="29" xml:space="preserve"> K111 + K45</f>
        <v>0.72371799810694781</v>
      </c>
      <c r="L122" s="329">
        <f t="shared" si="29"/>
        <v>0.65585026681767888</v>
      </c>
      <c r="M122" s="329">
        <f t="shared" si="29"/>
        <v>0.65585026681767888</v>
      </c>
      <c r="N122" s="329">
        <f t="shared" si="29"/>
        <v>0.65585026681767888</v>
      </c>
      <c r="O122" s="329">
        <f t="shared" si="29"/>
        <v>0.65585026681767888</v>
      </c>
      <c r="P122" s="329">
        <f t="shared" si="29"/>
        <v>0.65585026681767888</v>
      </c>
      <c r="Q122" s="329">
        <f t="shared" si="29"/>
        <v>0.65585026681767888</v>
      </c>
      <c r="R122" s="329">
        <f t="shared" si="29"/>
        <v>0.38262023285484648</v>
      </c>
      <c r="S122" s="329">
        <f t="shared" si="29"/>
        <v>0.38262023285484648</v>
      </c>
      <c r="T122" s="329">
        <f t="shared" si="29"/>
        <v>0.38262023285484648</v>
      </c>
      <c r="U122" s="329">
        <f t="shared" si="29"/>
        <v>0.38262023285484648</v>
      </c>
      <c r="V122" s="329">
        <f t="shared" si="29"/>
        <v>0.38262023285484648</v>
      </c>
      <c r="W122" s="329">
        <f t="shared" si="29"/>
        <v>0.2361769239194762</v>
      </c>
      <c r="X122" s="329">
        <f t="shared" si="29"/>
        <v>0.2361769239194762</v>
      </c>
      <c r="Y122" s="329">
        <f t="shared" si="29"/>
        <v>0.2361769239194762</v>
      </c>
      <c r="Z122" s="329">
        <f t="shared" si="29"/>
        <v>0.2361769239194762</v>
      </c>
      <c r="AA122" s="329">
        <f t="shared" si="29"/>
        <v>0.2361769239194762</v>
      </c>
      <c r="AB122" s="329">
        <f t="shared" si="29"/>
        <v>0.1314028636233896</v>
      </c>
      <c r="AC122" s="329">
        <f t="shared" si="29"/>
        <v>0.1314028636233896</v>
      </c>
      <c r="AD122" s="329">
        <f t="shared" si="29"/>
        <v>0.1314028636233896</v>
      </c>
      <c r="AE122" s="329">
        <f t="shared" si="29"/>
        <v>0.1314028636233896</v>
      </c>
      <c r="AF122" s="329">
        <f t="shared" si="29"/>
        <v>0.1314028636233896</v>
      </c>
      <c r="AG122" s="329">
        <f t="shared" si="29"/>
        <v>3.4180087810017401</v>
      </c>
      <c r="AH122" s="329">
        <f t="shared" si="29"/>
        <v>-0.43035900196627064</v>
      </c>
      <c r="AI122" s="329">
        <f t="shared" si="29"/>
        <v>-0.36699458766190662</v>
      </c>
      <c r="AJ122" s="329">
        <f t="shared" si="29"/>
        <v>-0.43035900196627064</v>
      </c>
      <c r="AK122" s="329">
        <f t="shared" si="29"/>
        <v>-0.43035900196627064</v>
      </c>
      <c r="AL122" s="329">
        <f t="shared" si="29"/>
        <v>-0.36699458766190662</v>
      </c>
      <c r="AM122" s="329">
        <f t="shared" si="29"/>
        <v>-0.36699458766190662</v>
      </c>
      <c r="AN122" s="329">
        <f t="shared" si="29"/>
        <v>-0.1707415547963361</v>
      </c>
      <c r="AO122" s="329">
        <f t="shared" si="29"/>
        <v>-0.1707415547963361</v>
      </c>
      <c r="AP122" s="267"/>
      <c r="AQ122" s="267"/>
    </row>
    <row r="123" spans="3:43" x14ac:dyDescent="0.3">
      <c r="E123" s="88"/>
      <c r="F123" t="s">
        <v>158</v>
      </c>
      <c r="G123" t="s">
        <v>269</v>
      </c>
      <c r="H123" s="279"/>
      <c r="I123" s="267"/>
      <c r="J123" s="329">
        <f t="shared" ref="J123" si="30" xml:space="preserve"> J112 + J46</f>
        <v>6.8790204779568292E-2</v>
      </c>
      <c r="K123" s="329">
        <f t="shared" ref="K123:AO123" si="31" xml:space="preserve"> K112 + K46</f>
        <v>6.8790204779568292E-2</v>
      </c>
      <c r="L123" s="329">
        <f t="shared" si="31"/>
        <v>6.2339301049765511E-2</v>
      </c>
      <c r="M123" s="329">
        <f t="shared" si="31"/>
        <v>6.2339301049765511E-2</v>
      </c>
      <c r="N123" s="329">
        <f t="shared" si="31"/>
        <v>6.2339301049765511E-2</v>
      </c>
      <c r="O123" s="329">
        <f t="shared" si="31"/>
        <v>6.2339301049765511E-2</v>
      </c>
      <c r="P123" s="329">
        <f t="shared" si="31"/>
        <v>6.2339301049765511E-2</v>
      </c>
      <c r="Q123" s="329">
        <f t="shared" si="31"/>
        <v>6.2339301049765511E-2</v>
      </c>
      <c r="R123" s="329">
        <f t="shared" si="31"/>
        <v>3.6117671579289766E-2</v>
      </c>
      <c r="S123" s="329">
        <f t="shared" si="31"/>
        <v>3.6117671579289766E-2</v>
      </c>
      <c r="T123" s="329">
        <f t="shared" si="31"/>
        <v>3.6117671579289766E-2</v>
      </c>
      <c r="U123" s="329">
        <f t="shared" si="31"/>
        <v>3.6117671579289766E-2</v>
      </c>
      <c r="V123" s="329">
        <f t="shared" si="31"/>
        <v>3.6117671579289766E-2</v>
      </c>
      <c r="W123" s="329">
        <f t="shared" si="31"/>
        <v>2.1862115772109857E-2</v>
      </c>
      <c r="X123" s="329">
        <f t="shared" si="31"/>
        <v>2.1862115772109857E-2</v>
      </c>
      <c r="Y123" s="329">
        <f t="shared" si="31"/>
        <v>2.1862115772109857E-2</v>
      </c>
      <c r="Z123" s="329">
        <f t="shared" si="31"/>
        <v>2.1862115772109857E-2</v>
      </c>
      <c r="AA123" s="329">
        <f t="shared" si="31"/>
        <v>2.1862115772109857E-2</v>
      </c>
      <c r="AB123" s="329">
        <f t="shared" si="31"/>
        <v>1.1741977572095842E-2</v>
      </c>
      <c r="AC123" s="329">
        <f t="shared" si="31"/>
        <v>1.1741977572095842E-2</v>
      </c>
      <c r="AD123" s="329">
        <f t="shared" si="31"/>
        <v>1.1741977572095842E-2</v>
      </c>
      <c r="AE123" s="329">
        <f t="shared" si="31"/>
        <v>1.1741977572095842E-2</v>
      </c>
      <c r="AF123" s="329">
        <f t="shared" si="31"/>
        <v>1.1741977572095842E-2</v>
      </c>
      <c r="AG123" s="329">
        <f t="shared" si="31"/>
        <v>2.4997751614077837</v>
      </c>
      <c r="AH123" s="329">
        <f t="shared" si="31"/>
        <v>-4.0906104244232938E-2</v>
      </c>
      <c r="AI123" s="329">
        <f t="shared" si="31"/>
        <v>-3.4739995085472319E-2</v>
      </c>
      <c r="AJ123" s="329">
        <f t="shared" si="31"/>
        <v>-4.0906104244232938E-2</v>
      </c>
      <c r="AK123" s="329">
        <f t="shared" si="31"/>
        <v>-4.0906104244232938E-2</v>
      </c>
      <c r="AL123" s="329">
        <f t="shared" si="31"/>
        <v>-3.4739995085472319E-2</v>
      </c>
      <c r="AM123" s="329">
        <f t="shared" si="31"/>
        <v>-3.4739995085472319E-2</v>
      </c>
      <c r="AN123" s="329">
        <f t="shared" si="31"/>
        <v>-1.55965181875376E-2</v>
      </c>
      <c r="AO123" s="329">
        <f t="shared" si="31"/>
        <v>-1.55965181875376E-2</v>
      </c>
      <c r="AP123" s="267"/>
      <c r="AQ123" s="267"/>
    </row>
    <row r="124" spans="3:43" x14ac:dyDescent="0.3">
      <c r="E124" s="88"/>
      <c r="F124" t="s">
        <v>159</v>
      </c>
      <c r="G124" t="s">
        <v>270</v>
      </c>
      <c r="H124" s="51"/>
      <c r="J124" s="330">
        <f t="shared" ref="J124" si="32" xml:space="preserve"> J113 + J47</f>
        <v>28.972966386560472</v>
      </c>
      <c r="K124" s="330">
        <f t="shared" ref="K124:AO124" si="33" xml:space="preserve"> K113 + K47</f>
        <v>0</v>
      </c>
      <c r="L124" s="330">
        <f t="shared" si="33"/>
        <v>10.217596249740245</v>
      </c>
      <c r="M124" s="330">
        <f t="shared" si="33"/>
        <v>15.489896417742603</v>
      </c>
      <c r="N124" s="330">
        <f t="shared" si="33"/>
        <v>41.645036195789352</v>
      </c>
      <c r="O124" s="330">
        <f t="shared" si="33"/>
        <v>85.625259978917043</v>
      </c>
      <c r="P124" s="330">
        <f t="shared" si="33"/>
        <v>253.64039824320321</v>
      </c>
      <c r="Q124" s="330">
        <f t="shared" si="33"/>
        <v>0</v>
      </c>
      <c r="R124" s="330">
        <f t="shared" si="33"/>
        <v>14.231394334803285</v>
      </c>
      <c r="S124" s="330">
        <f t="shared" si="33"/>
        <v>355.55416529594379</v>
      </c>
      <c r="T124" s="330">
        <f t="shared" si="33"/>
        <v>690.60538055652432</v>
      </c>
      <c r="U124" s="330">
        <f t="shared" si="33"/>
        <v>1109.1445261783738</v>
      </c>
      <c r="V124" s="330">
        <f t="shared" si="33"/>
        <v>2420.6882945783746</v>
      </c>
      <c r="W124" s="330">
        <f t="shared" si="33"/>
        <v>11.130026464918734</v>
      </c>
      <c r="X124" s="330">
        <f t="shared" si="33"/>
        <v>352.45279742605925</v>
      </c>
      <c r="Y124" s="330">
        <f t="shared" si="33"/>
        <v>687.50401268663984</v>
      </c>
      <c r="Z124" s="330">
        <f t="shared" si="33"/>
        <v>1106.0431583084894</v>
      </c>
      <c r="AA124" s="330">
        <f t="shared" si="33"/>
        <v>2417.5869267084904</v>
      </c>
      <c r="AB124" s="330">
        <f t="shared" si="33"/>
        <v>101.96661699710015</v>
      </c>
      <c r="AC124" s="330">
        <f t="shared" si="33"/>
        <v>1690.8977176355606</v>
      </c>
      <c r="AD124" s="330">
        <f t="shared" si="33"/>
        <v>6065.037488119925</v>
      </c>
      <c r="AE124" s="330">
        <f t="shared" si="33"/>
        <v>12677.568703513591</v>
      </c>
      <c r="AF124" s="330">
        <f t="shared" si="33"/>
        <v>32142.530715548237</v>
      </c>
      <c r="AG124" s="330">
        <f t="shared" si="33"/>
        <v>0</v>
      </c>
      <c r="AH124" s="330">
        <f t="shared" si="33"/>
        <v>0</v>
      </c>
      <c r="AI124" s="330">
        <f t="shared" si="33"/>
        <v>0</v>
      </c>
      <c r="AJ124" s="330">
        <f t="shared" si="33"/>
        <v>0</v>
      </c>
      <c r="AK124" s="330">
        <f t="shared" si="33"/>
        <v>0</v>
      </c>
      <c r="AL124" s="330">
        <f t="shared" si="33"/>
        <v>0</v>
      </c>
      <c r="AM124" s="330">
        <f t="shared" si="33"/>
        <v>0</v>
      </c>
      <c r="AN124" s="330">
        <f t="shared" si="33"/>
        <v>63.755459127934301</v>
      </c>
      <c r="AO124" s="330">
        <f t="shared" si="33"/>
        <v>63.755459127934301</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3.9816938198221941</v>
      </c>
      <c r="S125" s="330">
        <f t="shared" si="35"/>
        <v>3.9816938198221941</v>
      </c>
      <c r="T125" s="330">
        <f t="shared" si="35"/>
        <v>3.9816938198221941</v>
      </c>
      <c r="U125" s="330">
        <f t="shared" si="35"/>
        <v>3.9816938198221941</v>
      </c>
      <c r="V125" s="330">
        <f t="shared" si="35"/>
        <v>3.9816938198221941</v>
      </c>
      <c r="W125" s="330">
        <f t="shared" si="35"/>
        <v>3.6103184247786979</v>
      </c>
      <c r="X125" s="330">
        <f t="shared" si="35"/>
        <v>3.6103184247786979</v>
      </c>
      <c r="Y125" s="330">
        <f t="shared" si="35"/>
        <v>3.6103184247786979</v>
      </c>
      <c r="Z125" s="330">
        <f t="shared" si="35"/>
        <v>3.6103184247786979</v>
      </c>
      <c r="AA125" s="330">
        <f t="shared" si="35"/>
        <v>3.6103184247786979</v>
      </c>
      <c r="AB125" s="330">
        <f t="shared" si="35"/>
        <v>3.0666881743347854</v>
      </c>
      <c r="AC125" s="330">
        <f t="shared" si="35"/>
        <v>3.0666881743347854</v>
      </c>
      <c r="AD125" s="330">
        <f t="shared" si="35"/>
        <v>3.0666881743347854</v>
      </c>
      <c r="AE125" s="330">
        <f t="shared" si="35"/>
        <v>3.0666881743347854</v>
      </c>
      <c r="AF125" s="330">
        <f t="shared" si="35"/>
        <v>3.0666881743347854</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8.2981300945898191</v>
      </c>
      <c r="S126" s="330">
        <f t="shared" si="37"/>
        <v>8.2981300945898191</v>
      </c>
      <c r="T126" s="330">
        <f t="shared" si="37"/>
        <v>8.2981300945898191</v>
      </c>
      <c r="U126" s="330">
        <f t="shared" si="37"/>
        <v>8.2981300945898191</v>
      </c>
      <c r="V126" s="330">
        <f t="shared" si="37"/>
        <v>8.2981300945898191</v>
      </c>
      <c r="W126" s="330">
        <f t="shared" si="37"/>
        <v>6.8753494006560389</v>
      </c>
      <c r="X126" s="330">
        <f t="shared" si="37"/>
        <v>6.8753494006560389</v>
      </c>
      <c r="Y126" s="330">
        <f t="shared" si="37"/>
        <v>6.8753494006560389</v>
      </c>
      <c r="Z126" s="330">
        <f t="shared" si="37"/>
        <v>6.8753494006560389</v>
      </c>
      <c r="AA126" s="330">
        <f t="shared" si="37"/>
        <v>6.8753494006560389</v>
      </c>
      <c r="AB126" s="330">
        <f t="shared" si="37"/>
        <v>6.7796855916892635</v>
      </c>
      <c r="AC126" s="330">
        <f t="shared" si="37"/>
        <v>6.7796855916892635</v>
      </c>
      <c r="AD126" s="330">
        <f t="shared" si="37"/>
        <v>6.7796855916892635</v>
      </c>
      <c r="AE126" s="330">
        <f t="shared" si="37"/>
        <v>6.7796855916892635</v>
      </c>
      <c r="AF126" s="330">
        <f t="shared" si="37"/>
        <v>6.7796855916892635</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0.117033715439345</v>
      </c>
      <c r="S127" s="284">
        <f t="shared" si="39"/>
        <v>0.117033715439345</v>
      </c>
      <c r="T127" s="284">
        <f t="shared" si="39"/>
        <v>0.117033715439345</v>
      </c>
      <c r="U127" s="284">
        <f t="shared" si="39"/>
        <v>0.117033715439345</v>
      </c>
      <c r="V127" s="284">
        <f t="shared" si="39"/>
        <v>0.117033715439345</v>
      </c>
      <c r="W127" s="284">
        <f t="shared" si="39"/>
        <v>7.9592984330242478E-2</v>
      </c>
      <c r="X127" s="284">
        <f t="shared" si="39"/>
        <v>7.9592984330242478E-2</v>
      </c>
      <c r="Y127" s="284">
        <f t="shared" si="39"/>
        <v>7.9592984330242478E-2</v>
      </c>
      <c r="Z127" s="284">
        <f t="shared" si="39"/>
        <v>7.9592984330242478E-2</v>
      </c>
      <c r="AA127" s="284">
        <f t="shared" si="39"/>
        <v>7.9592984330242478E-2</v>
      </c>
      <c r="AB127" s="284">
        <f t="shared" si="39"/>
        <v>5.325913516504404E-2</v>
      </c>
      <c r="AC127" s="284">
        <f t="shared" si="39"/>
        <v>5.325913516504404E-2</v>
      </c>
      <c r="AD127" s="284">
        <f t="shared" si="39"/>
        <v>5.325913516504404E-2</v>
      </c>
      <c r="AE127" s="284">
        <f t="shared" si="39"/>
        <v>5.325913516504404E-2</v>
      </c>
      <c r="AF127" s="284">
        <f t="shared" si="39"/>
        <v>5.325913516504404E-2</v>
      </c>
      <c r="AG127" s="284">
        <f t="shared" si="39"/>
        <v>0</v>
      </c>
      <c r="AH127" s="284">
        <f t="shared" si="39"/>
        <v>0</v>
      </c>
      <c r="AI127" s="284">
        <f t="shared" si="39"/>
        <v>0</v>
      </c>
      <c r="AJ127" s="284">
        <f t="shared" si="39"/>
        <v>0.12816320996290698</v>
      </c>
      <c r="AK127" s="284">
        <f t="shared" si="39"/>
        <v>0</v>
      </c>
      <c r="AL127" s="284">
        <f t="shared" si="39"/>
        <v>0.10282741481374987</v>
      </c>
      <c r="AM127" s="284">
        <f t="shared" si="39"/>
        <v>0</v>
      </c>
      <c r="AN127" s="284">
        <f t="shared" si="39"/>
        <v>7.8714520399531474E-2</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8.917880562687575</v>
      </c>
      <c r="K130" s="281">
        <f t="shared" ref="K130:AJ130" si="41" xml:space="preserve"> K110 * (1 - K75) + K44</f>
        <v>8.917880562687575</v>
      </c>
      <c r="L130" s="281">
        <f t="shared" si="41"/>
        <v>8.0815930539045837</v>
      </c>
      <c r="M130" s="281">
        <f t="shared" si="41"/>
        <v>8.0815930539045837</v>
      </c>
      <c r="N130" s="281">
        <f t="shared" si="41"/>
        <v>8.0815930539045837</v>
      </c>
      <c r="O130" s="281">
        <f t="shared" si="41"/>
        <v>8.0815930539045837</v>
      </c>
      <c r="P130" s="281">
        <f t="shared" si="41"/>
        <v>8.0815930539045837</v>
      </c>
      <c r="Q130" s="281">
        <f t="shared" si="41"/>
        <v>8.0815930539045837</v>
      </c>
      <c r="R130" s="281">
        <f t="shared" si="41"/>
        <v>5.2049076512202959</v>
      </c>
      <c r="S130" s="281">
        <f t="shared" si="41"/>
        <v>5.2049076512202959</v>
      </c>
      <c r="T130" s="281">
        <f t="shared" si="41"/>
        <v>5.2049076512202959</v>
      </c>
      <c r="U130" s="281">
        <f t="shared" si="41"/>
        <v>5.2049076512202959</v>
      </c>
      <c r="V130" s="281">
        <f t="shared" si="41"/>
        <v>5.2049076512202959</v>
      </c>
      <c r="W130" s="280"/>
      <c r="X130" s="280"/>
      <c r="Y130" s="280"/>
      <c r="Z130" s="280"/>
      <c r="AA130" s="280"/>
      <c r="AB130" s="280"/>
      <c r="AC130" s="280"/>
      <c r="AD130" s="280"/>
      <c r="AE130" s="280"/>
      <c r="AF130" s="280"/>
      <c r="AG130" s="281">
        <f t="shared" si="41"/>
        <v>23.59395464960663</v>
      </c>
      <c r="AH130" s="281">
        <f t="shared" si="41"/>
        <v>-8.5656881932319084</v>
      </c>
      <c r="AI130" s="280"/>
      <c r="AJ130" s="281">
        <f t="shared" si="41"/>
        <v>-8.5656881932319084</v>
      </c>
      <c r="AK130" s="280"/>
      <c r="AL130" s="280"/>
      <c r="AM130" s="280"/>
      <c r="AN130" s="280"/>
      <c r="AO130" s="280"/>
      <c r="AP130" s="267"/>
      <c r="AQ130" s="267"/>
    </row>
    <row r="131" spans="3:43" x14ac:dyDescent="0.3">
      <c r="E131" s="88"/>
      <c r="F131" t="s">
        <v>157</v>
      </c>
      <c r="G131" t="s">
        <v>269</v>
      </c>
      <c r="H131" s="279"/>
      <c r="I131" s="267"/>
      <c r="J131" s="329">
        <f t="shared" si="40"/>
        <v>0.44805392071650457</v>
      </c>
      <c r="K131" s="329">
        <f t="shared" ref="K131:AJ131" si="42" xml:space="preserve"> K111 * (1 - K76) + K45</f>
        <v>0.44805392071650457</v>
      </c>
      <c r="L131" s="329">
        <f t="shared" si="42"/>
        <v>0.406036998139159</v>
      </c>
      <c r="M131" s="329">
        <f t="shared" si="42"/>
        <v>0.406036998139159</v>
      </c>
      <c r="N131" s="329">
        <f t="shared" si="42"/>
        <v>0.406036998139159</v>
      </c>
      <c r="O131" s="329">
        <f t="shared" si="42"/>
        <v>0.406036998139159</v>
      </c>
      <c r="P131" s="329">
        <f t="shared" si="42"/>
        <v>0.406036998139159</v>
      </c>
      <c r="Q131" s="329">
        <f t="shared" si="42"/>
        <v>0.406036998139159</v>
      </c>
      <c r="R131" s="329">
        <f t="shared" si="42"/>
        <v>0.23688024330540702</v>
      </c>
      <c r="S131" s="329">
        <f t="shared" si="42"/>
        <v>0.23688024330540702</v>
      </c>
      <c r="T131" s="329">
        <f t="shared" si="42"/>
        <v>0.23688024330540702</v>
      </c>
      <c r="U131" s="329">
        <f t="shared" si="42"/>
        <v>0.23688024330540702</v>
      </c>
      <c r="V131" s="329">
        <f t="shared" si="42"/>
        <v>0.23688024330540702</v>
      </c>
      <c r="W131" s="268"/>
      <c r="X131" s="268"/>
      <c r="Y131" s="268"/>
      <c r="Z131" s="268"/>
      <c r="AA131" s="268"/>
      <c r="AB131" s="268"/>
      <c r="AC131" s="268"/>
      <c r="AD131" s="268"/>
      <c r="AE131" s="268"/>
      <c r="AF131" s="268"/>
      <c r="AG131" s="329">
        <f t="shared" si="42"/>
        <v>2.116089746803504</v>
      </c>
      <c r="AH131" s="329">
        <f t="shared" si="42"/>
        <v>-0.43035900196627064</v>
      </c>
      <c r="AI131" s="268"/>
      <c r="AJ131" s="329">
        <f t="shared" si="42"/>
        <v>-0.43035900196627064</v>
      </c>
      <c r="AK131" s="268"/>
      <c r="AL131" s="268"/>
      <c r="AM131" s="268"/>
      <c r="AN131" s="268"/>
      <c r="AO131" s="268"/>
      <c r="AP131" s="267"/>
      <c r="AQ131" s="267"/>
    </row>
    <row r="132" spans="3:43" x14ac:dyDescent="0.3">
      <c r="E132" s="88"/>
      <c r="F132" t="s">
        <v>158</v>
      </c>
      <c r="G132" t="s">
        <v>269</v>
      </c>
      <c r="H132" s="279"/>
      <c r="I132" s="267"/>
      <c r="J132" s="329">
        <f t="shared" si="40"/>
        <v>4.2588026052962837E-2</v>
      </c>
      <c r="K132" s="329">
        <f t="shared" ref="K132:AJ132" si="43" xml:space="preserve"> K112 * (1 - K77) + K46</f>
        <v>4.2588026052962837E-2</v>
      </c>
      <c r="L132" s="329">
        <f t="shared" si="43"/>
        <v>3.8594270590388675E-2</v>
      </c>
      <c r="M132" s="329">
        <f t="shared" si="43"/>
        <v>3.8594270590388675E-2</v>
      </c>
      <c r="N132" s="329">
        <f t="shared" si="43"/>
        <v>3.8594270590388675E-2</v>
      </c>
      <c r="O132" s="329">
        <f t="shared" si="43"/>
        <v>3.8594270590388675E-2</v>
      </c>
      <c r="P132" s="329">
        <f t="shared" si="43"/>
        <v>3.8594270590388675E-2</v>
      </c>
      <c r="Q132" s="329">
        <f t="shared" si="43"/>
        <v>3.8594270590388675E-2</v>
      </c>
      <c r="R132" s="329">
        <f t="shared" si="43"/>
        <v>2.2360455868972937E-2</v>
      </c>
      <c r="S132" s="329">
        <f t="shared" si="43"/>
        <v>2.2360455868972937E-2</v>
      </c>
      <c r="T132" s="329">
        <f t="shared" si="43"/>
        <v>2.2360455868972937E-2</v>
      </c>
      <c r="U132" s="329">
        <f t="shared" si="43"/>
        <v>2.2360455868972937E-2</v>
      </c>
      <c r="V132" s="329">
        <f t="shared" si="43"/>
        <v>2.2360455868972937E-2</v>
      </c>
      <c r="W132" s="268"/>
      <c r="X132" s="268"/>
      <c r="Y132" s="268"/>
      <c r="Z132" s="268"/>
      <c r="AA132" s="268"/>
      <c r="AB132" s="268"/>
      <c r="AC132" s="268"/>
      <c r="AD132" s="268"/>
      <c r="AE132" s="268"/>
      <c r="AF132" s="268"/>
      <c r="AG132" s="329">
        <f t="shared" si="43"/>
        <v>1.5476111757731592</v>
      </c>
      <c r="AH132" s="329">
        <f t="shared" si="43"/>
        <v>-4.0906104244232938E-2</v>
      </c>
      <c r="AI132" s="268"/>
      <c r="AJ132" s="329">
        <f t="shared" si="43"/>
        <v>-4.0906104244232938E-2</v>
      </c>
      <c r="AK132" s="268"/>
      <c r="AL132" s="268"/>
      <c r="AM132" s="268"/>
      <c r="AN132" s="268"/>
      <c r="AO132" s="268"/>
      <c r="AP132" s="267"/>
      <c r="AQ132" s="267"/>
    </row>
    <row r="133" spans="3:43" x14ac:dyDescent="0.3">
      <c r="E133" s="88"/>
      <c r="F133" t="s">
        <v>159</v>
      </c>
      <c r="G133" t="s">
        <v>270</v>
      </c>
      <c r="H133" s="51"/>
      <c r="J133" s="330">
        <f t="shared" si="40"/>
        <v>21.613243532558052</v>
      </c>
      <c r="K133" s="330">
        <f t="shared" ref="K133:AJ133" si="44" xml:space="preserve"> K113 * (1 - K78) + K47</f>
        <v>0</v>
      </c>
      <c r="L133" s="330">
        <f t="shared" si="44"/>
        <v>6.3619903254355625</v>
      </c>
      <c r="M133" s="330">
        <f t="shared" si="44"/>
        <v>9.6260721468726693</v>
      </c>
      <c r="N133" s="330">
        <f t="shared" si="44"/>
        <v>25.818723089775268</v>
      </c>
      <c r="O133" s="330">
        <f t="shared" si="44"/>
        <v>53.04688620242959</v>
      </c>
      <c r="P133" s="330">
        <f t="shared" si="44"/>
        <v>157.06508339519101</v>
      </c>
      <c r="Q133" s="330">
        <f t="shared" si="44"/>
        <v>0</v>
      </c>
      <c r="R133" s="330">
        <f t="shared" si="44"/>
        <v>8.8469333193655473</v>
      </c>
      <c r="S133" s="330">
        <f t="shared" si="44"/>
        <v>220.15991179853421</v>
      </c>
      <c r="T133" s="330">
        <f t="shared" si="44"/>
        <v>427.59016920681893</v>
      </c>
      <c r="U133" s="330">
        <f t="shared" si="44"/>
        <v>686.70781677082698</v>
      </c>
      <c r="V133" s="330">
        <f t="shared" si="44"/>
        <v>1498.6847596685225</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2.4650672385245502</v>
      </c>
      <c r="S134" s="330">
        <f t="shared" si="45"/>
        <v>2.4650672385245502</v>
      </c>
      <c r="T134" s="330">
        <f t="shared" si="45"/>
        <v>2.4650672385245502</v>
      </c>
      <c r="U134" s="330">
        <f t="shared" si="45"/>
        <v>2.4650672385245502</v>
      </c>
      <c r="V134" s="330">
        <f t="shared" si="45"/>
        <v>2.4650672385245502</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5.1373735809001619</v>
      </c>
      <c r="S135" s="330">
        <f t="shared" si="46"/>
        <v>5.1373735809001619</v>
      </c>
      <c r="T135" s="330">
        <f t="shared" si="46"/>
        <v>5.1373735809001619</v>
      </c>
      <c r="U135" s="330">
        <f t="shared" si="46"/>
        <v>5.1373735809001619</v>
      </c>
      <c r="V135" s="330">
        <f t="shared" si="46"/>
        <v>5.1373735809001619</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7.2455590707679582E-2</v>
      </c>
      <c r="S136" s="284">
        <f t="shared" si="47"/>
        <v>7.2455590707679582E-2</v>
      </c>
      <c r="T136" s="284">
        <f t="shared" si="47"/>
        <v>7.2455590707679582E-2</v>
      </c>
      <c r="U136" s="284">
        <f t="shared" si="47"/>
        <v>7.2455590707679582E-2</v>
      </c>
      <c r="V136" s="284">
        <f t="shared" si="47"/>
        <v>7.2455590707679582E-2</v>
      </c>
      <c r="W136" s="270"/>
      <c r="X136" s="270"/>
      <c r="Y136" s="270"/>
      <c r="Z136" s="270"/>
      <c r="AA136" s="270"/>
      <c r="AB136" s="270"/>
      <c r="AC136" s="270"/>
      <c r="AD136" s="270"/>
      <c r="AE136" s="270"/>
      <c r="AF136" s="270"/>
      <c r="AG136" s="284">
        <f t="shared" si="47"/>
        <v>0</v>
      </c>
      <c r="AH136" s="284">
        <f t="shared" si="47"/>
        <v>0</v>
      </c>
      <c r="AI136" s="270"/>
      <c r="AJ136" s="284">
        <f t="shared" si="47"/>
        <v>0.12816320996290698</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6.1217502058861486</v>
      </c>
      <c r="K139" s="281">
        <f t="shared" ref="K139:AN139" si="49">K110 * (1 - K84) + K44</f>
        <v>6.1217502058861486</v>
      </c>
      <c r="L139" s="281">
        <f t="shared" si="49"/>
        <v>5.5476739785712796</v>
      </c>
      <c r="M139" s="281">
        <f t="shared" si="49"/>
        <v>5.5476739785712796</v>
      </c>
      <c r="N139" s="281">
        <f t="shared" si="49"/>
        <v>5.5476739785712796</v>
      </c>
      <c r="O139" s="281">
        <f t="shared" si="49"/>
        <v>5.5476739785712796</v>
      </c>
      <c r="P139" s="281">
        <f t="shared" si="49"/>
        <v>5.5476739785712796</v>
      </c>
      <c r="Q139" s="281">
        <f t="shared" si="49"/>
        <v>5.5476739785712796</v>
      </c>
      <c r="R139" s="281">
        <f t="shared" si="49"/>
        <v>3.5729503508705514</v>
      </c>
      <c r="S139" s="281">
        <f t="shared" si="49"/>
        <v>3.5729503508705514</v>
      </c>
      <c r="T139" s="281">
        <f t="shared" si="49"/>
        <v>3.5729503508705514</v>
      </c>
      <c r="U139" s="281">
        <f t="shared" si="49"/>
        <v>3.5729503508705514</v>
      </c>
      <c r="V139" s="281">
        <f t="shared" si="49"/>
        <v>3.5729503508705514</v>
      </c>
      <c r="W139" s="281">
        <f t="shared" si="49"/>
        <v>4.5853273095837483</v>
      </c>
      <c r="X139" s="281">
        <f t="shared" si="49"/>
        <v>4.5853273095837483</v>
      </c>
      <c r="Y139" s="281">
        <f t="shared" si="49"/>
        <v>4.5853273095837483</v>
      </c>
      <c r="Z139" s="281">
        <f t="shared" si="49"/>
        <v>4.5853273095837483</v>
      </c>
      <c r="AA139" s="281">
        <f t="shared" si="49"/>
        <v>4.5853273095837483</v>
      </c>
      <c r="AB139" s="281">
        <f t="shared" si="49"/>
        <v>3.9840180706306705</v>
      </c>
      <c r="AC139" s="281">
        <f t="shared" si="49"/>
        <v>3.9840180706306705</v>
      </c>
      <c r="AD139" s="281">
        <f t="shared" si="49"/>
        <v>3.9840180706306705</v>
      </c>
      <c r="AE139" s="281">
        <f t="shared" si="49"/>
        <v>3.9840180706306705</v>
      </c>
      <c r="AF139" s="281">
        <f t="shared" si="49"/>
        <v>3.9840180706306705</v>
      </c>
      <c r="AG139" s="281">
        <f t="shared" si="49"/>
        <v>16.196258260984067</v>
      </c>
      <c r="AH139" s="281">
        <f t="shared" si="49"/>
        <v>-8.5656881932319084</v>
      </c>
      <c r="AI139" s="281">
        <f t="shared" si="49"/>
        <v>-7.756691054523416</v>
      </c>
      <c r="AJ139" s="281">
        <f t="shared" si="49"/>
        <v>-8.5656881932319084</v>
      </c>
      <c r="AK139" s="280"/>
      <c r="AL139" s="281">
        <f t="shared" si="49"/>
        <v>-7.756691054523416</v>
      </c>
      <c r="AM139" s="280"/>
      <c r="AN139" s="281">
        <f t="shared" si="49"/>
        <v>-5.2246528598629354</v>
      </c>
      <c r="AO139" s="280"/>
      <c r="AP139" s="267"/>
      <c r="AQ139" s="267"/>
    </row>
    <row r="140" spans="3:43" x14ac:dyDescent="0.3">
      <c r="C140" s="88"/>
      <c r="F140" t="s">
        <v>157</v>
      </c>
      <c r="G140" t="s">
        <v>269</v>
      </c>
      <c r="H140" s="279"/>
      <c r="I140" s="267"/>
      <c r="J140" s="329">
        <f t="shared" si="48"/>
        <v>0.30757018577604051</v>
      </c>
      <c r="K140" s="329">
        <f t="shared" ref="K140:AN140" si="50">K111 * (1 - K85) + K45</f>
        <v>0.30757018577604051</v>
      </c>
      <c r="L140" s="329">
        <f t="shared" si="50"/>
        <v>0.27872733431257013</v>
      </c>
      <c r="M140" s="329">
        <f t="shared" si="50"/>
        <v>0.27872733431257013</v>
      </c>
      <c r="N140" s="329">
        <f t="shared" si="50"/>
        <v>0.27872733431257013</v>
      </c>
      <c r="O140" s="329">
        <f t="shared" si="50"/>
        <v>0.27872733431257013</v>
      </c>
      <c r="P140" s="329">
        <f t="shared" si="50"/>
        <v>0.27872733431257013</v>
      </c>
      <c r="Q140" s="329">
        <f t="shared" si="50"/>
        <v>0.27872733431257013</v>
      </c>
      <c r="R140" s="329">
        <f t="shared" si="50"/>
        <v>0.16260833143387765</v>
      </c>
      <c r="S140" s="329">
        <f t="shared" si="50"/>
        <v>0.16260833143387765</v>
      </c>
      <c r="T140" s="329">
        <f t="shared" si="50"/>
        <v>0.16260833143387765</v>
      </c>
      <c r="U140" s="329">
        <f t="shared" si="50"/>
        <v>0.16260833143387765</v>
      </c>
      <c r="V140" s="329">
        <f t="shared" si="50"/>
        <v>0.16260833143387765</v>
      </c>
      <c r="W140" s="329">
        <f t="shared" si="50"/>
        <v>0.1652615498753513</v>
      </c>
      <c r="X140" s="329">
        <f t="shared" si="50"/>
        <v>0.1652615498753513</v>
      </c>
      <c r="Y140" s="329">
        <f t="shared" si="50"/>
        <v>0.1652615498753513</v>
      </c>
      <c r="Z140" s="329">
        <f t="shared" si="50"/>
        <v>0.1652615498753513</v>
      </c>
      <c r="AA140" s="329">
        <f t="shared" si="50"/>
        <v>0.1652615498753513</v>
      </c>
      <c r="AB140" s="329">
        <f t="shared" si="50"/>
        <v>0.10899536861329343</v>
      </c>
      <c r="AC140" s="329">
        <f t="shared" si="50"/>
        <v>0.10899536861329343</v>
      </c>
      <c r="AD140" s="329">
        <f t="shared" si="50"/>
        <v>0.10899536861329343</v>
      </c>
      <c r="AE140" s="329">
        <f t="shared" si="50"/>
        <v>0.10899536861329343</v>
      </c>
      <c r="AF140" s="329">
        <f t="shared" si="50"/>
        <v>0.10899536861329343</v>
      </c>
      <c r="AG140" s="329">
        <f t="shared" si="50"/>
        <v>1.4526066762284526</v>
      </c>
      <c r="AH140" s="329">
        <f t="shared" si="50"/>
        <v>-0.43035900196627064</v>
      </c>
      <c r="AI140" s="329">
        <f t="shared" si="50"/>
        <v>-0.36699458766190662</v>
      </c>
      <c r="AJ140" s="329">
        <f t="shared" si="50"/>
        <v>-0.43035900196627064</v>
      </c>
      <c r="AK140" s="268"/>
      <c r="AL140" s="329">
        <f t="shared" si="50"/>
        <v>-0.36699458766190662</v>
      </c>
      <c r="AM140" s="268"/>
      <c r="AN140" s="329">
        <f t="shared" si="50"/>
        <v>-0.1707415547963361</v>
      </c>
      <c r="AO140" s="268"/>
      <c r="AP140" s="267"/>
      <c r="AQ140" s="267"/>
    </row>
    <row r="141" spans="3:43" x14ac:dyDescent="0.3">
      <c r="C141" s="88"/>
      <c r="F141" t="s">
        <v>158</v>
      </c>
      <c r="G141" t="s">
        <v>269</v>
      </c>
      <c r="H141" s="279"/>
      <c r="I141" s="267"/>
      <c r="J141" s="329">
        <f t="shared" si="48"/>
        <v>2.9234889997163071E-2</v>
      </c>
      <c r="K141" s="329">
        <f t="shared" ref="K141:AN141" si="51">K112 * (1 - K86) + K46</f>
        <v>2.9234889997163071E-2</v>
      </c>
      <c r="L141" s="329">
        <f t="shared" si="51"/>
        <v>2.6493344721532669E-2</v>
      </c>
      <c r="M141" s="329">
        <f t="shared" si="51"/>
        <v>2.6493344721532669E-2</v>
      </c>
      <c r="N141" s="329">
        <f t="shared" si="51"/>
        <v>2.6493344721532669E-2</v>
      </c>
      <c r="O141" s="329">
        <f t="shared" si="51"/>
        <v>2.6493344721532669E-2</v>
      </c>
      <c r="P141" s="329">
        <f t="shared" si="51"/>
        <v>2.6493344721532669E-2</v>
      </c>
      <c r="Q141" s="329">
        <f t="shared" si="51"/>
        <v>2.6493344721532669E-2</v>
      </c>
      <c r="R141" s="329">
        <f t="shared" si="51"/>
        <v>1.534951318952631E-2</v>
      </c>
      <c r="S141" s="329">
        <f t="shared" si="51"/>
        <v>1.534951318952631E-2</v>
      </c>
      <c r="T141" s="329">
        <f t="shared" si="51"/>
        <v>1.534951318952631E-2</v>
      </c>
      <c r="U141" s="329">
        <f t="shared" si="51"/>
        <v>1.534951318952631E-2</v>
      </c>
      <c r="V141" s="329">
        <f t="shared" si="51"/>
        <v>1.534951318952631E-2</v>
      </c>
      <c r="W141" s="329">
        <f t="shared" si="51"/>
        <v>1.5297714425669578E-2</v>
      </c>
      <c r="X141" s="329">
        <f t="shared" si="51"/>
        <v>1.5297714425669578E-2</v>
      </c>
      <c r="Y141" s="329">
        <f t="shared" si="51"/>
        <v>1.5297714425669578E-2</v>
      </c>
      <c r="Z141" s="329">
        <f t="shared" si="51"/>
        <v>1.5297714425669578E-2</v>
      </c>
      <c r="AA141" s="329">
        <f t="shared" si="51"/>
        <v>1.5297714425669578E-2</v>
      </c>
      <c r="AB141" s="329">
        <f t="shared" si="51"/>
        <v>9.7396749083617645E-3</v>
      </c>
      <c r="AC141" s="329">
        <f t="shared" si="51"/>
        <v>9.7396749083617645E-3</v>
      </c>
      <c r="AD141" s="329">
        <f t="shared" si="51"/>
        <v>9.7396749083617645E-3</v>
      </c>
      <c r="AE141" s="329">
        <f t="shared" si="51"/>
        <v>9.7396749083617645E-3</v>
      </c>
      <c r="AF141" s="329">
        <f t="shared" si="51"/>
        <v>9.7396749083617645E-3</v>
      </c>
      <c r="AG141" s="329">
        <f t="shared" si="51"/>
        <v>1.0623700292153098</v>
      </c>
      <c r="AH141" s="329">
        <f t="shared" si="51"/>
        <v>-4.0906104244232938E-2</v>
      </c>
      <c r="AI141" s="329">
        <f t="shared" si="51"/>
        <v>-3.4739995085472319E-2</v>
      </c>
      <c r="AJ141" s="329">
        <f t="shared" si="51"/>
        <v>-4.0906104244232938E-2</v>
      </c>
      <c r="AK141" s="268"/>
      <c r="AL141" s="329">
        <f t="shared" si="51"/>
        <v>-3.4739995085472319E-2</v>
      </c>
      <c r="AM141" s="268"/>
      <c r="AN141" s="329">
        <f t="shared" si="51"/>
        <v>-1.55965181875376E-2</v>
      </c>
      <c r="AO141" s="268"/>
      <c r="AP141" s="267"/>
      <c r="AQ141" s="267"/>
    </row>
    <row r="142" spans="3:43" x14ac:dyDescent="0.3">
      <c r="C142" s="88"/>
      <c r="F142" t="s">
        <v>159</v>
      </c>
      <c r="G142" t="s">
        <v>270</v>
      </c>
      <c r="H142" s="51"/>
      <c r="J142" s="330">
        <f t="shared" si="48"/>
        <v>17.862586702533246</v>
      </c>
      <c r="K142" s="330">
        <f t="shared" ref="K142:AN142" si="52">K113 * (1 - K87) + K47</f>
        <v>0</v>
      </c>
      <c r="L142" s="330">
        <f t="shared" si="52"/>
        <v>4.3970991222276705</v>
      </c>
      <c r="M142" s="330">
        <f t="shared" si="52"/>
        <v>6.6377541099179194</v>
      </c>
      <c r="N142" s="330">
        <f t="shared" si="52"/>
        <v>17.753328438004974</v>
      </c>
      <c r="O142" s="330">
        <f t="shared" si="52"/>
        <v>36.44431807047431</v>
      </c>
      <c r="P142" s="330">
        <f t="shared" si="52"/>
        <v>107.8484387698425</v>
      </c>
      <c r="Q142" s="330">
        <f t="shared" si="52"/>
        <v>0</v>
      </c>
      <c r="R142" s="330">
        <f t="shared" si="52"/>
        <v>6.1029080504559863</v>
      </c>
      <c r="S142" s="330">
        <f t="shared" si="52"/>
        <v>151.16038672130887</v>
      </c>
      <c r="T142" s="330">
        <f t="shared" si="52"/>
        <v>293.55254055987677</v>
      </c>
      <c r="U142" s="330">
        <f t="shared" si="52"/>
        <v>471.42591542436963</v>
      </c>
      <c r="V142" s="330">
        <f t="shared" si="52"/>
        <v>1028.813960982669</v>
      </c>
      <c r="W142" s="330">
        <f t="shared" si="52"/>
        <v>7.8166783275878853</v>
      </c>
      <c r="X142" s="330">
        <f t="shared" si="52"/>
        <v>246.65258659786247</v>
      </c>
      <c r="Y142" s="330">
        <f t="shared" si="52"/>
        <v>481.10006013876659</v>
      </c>
      <c r="Z142" s="330">
        <f t="shared" si="52"/>
        <v>773.96706315111396</v>
      </c>
      <c r="AA142" s="330">
        <f t="shared" si="52"/>
        <v>1691.7017524598903</v>
      </c>
      <c r="AB142" s="330">
        <f t="shared" si="52"/>
        <v>84.59498274995093</v>
      </c>
      <c r="AC142" s="330">
        <f t="shared" si="52"/>
        <v>1402.5733451666133</v>
      </c>
      <c r="AD142" s="330">
        <f t="shared" si="52"/>
        <v>5030.8122092483163</v>
      </c>
      <c r="AE142" s="330">
        <f t="shared" si="52"/>
        <v>10515.740447604087</v>
      </c>
      <c r="AF142" s="330">
        <f t="shared" si="52"/>
        <v>26661.436599448287</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1.6921650574800977</v>
      </c>
      <c r="S143" s="330">
        <f t="shared" si="53"/>
        <v>1.6921650574800977</v>
      </c>
      <c r="T143" s="330">
        <f t="shared" si="53"/>
        <v>1.6921650574800977</v>
      </c>
      <c r="U143" s="330">
        <f t="shared" si="53"/>
        <v>1.6921650574800977</v>
      </c>
      <c r="V143" s="330">
        <f t="shared" si="53"/>
        <v>1.6921650574800977</v>
      </c>
      <c r="W143" s="330">
        <f t="shared" si="53"/>
        <v>2.5262705963004644</v>
      </c>
      <c r="X143" s="330">
        <f t="shared" si="53"/>
        <v>2.5262705963004644</v>
      </c>
      <c r="Y143" s="330">
        <f t="shared" si="53"/>
        <v>2.5262705963004644</v>
      </c>
      <c r="Z143" s="330">
        <f t="shared" si="53"/>
        <v>2.5262705963004644</v>
      </c>
      <c r="AA143" s="330">
        <f t="shared" si="53"/>
        <v>2.5262705963004644</v>
      </c>
      <c r="AB143" s="330">
        <f t="shared" si="53"/>
        <v>2.5437406671870328</v>
      </c>
      <c r="AC143" s="330">
        <f t="shared" si="53"/>
        <v>2.5437406671870328</v>
      </c>
      <c r="AD143" s="330">
        <f t="shared" si="53"/>
        <v>2.5437406671870328</v>
      </c>
      <c r="AE143" s="330">
        <f t="shared" si="53"/>
        <v>2.5437406671870328</v>
      </c>
      <c r="AF143" s="330">
        <f t="shared" si="53"/>
        <v>2.5437406671870328</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3.5265910499155257</v>
      </c>
      <c r="S144" s="330">
        <f t="shared" si="54"/>
        <v>3.5265910499155257</v>
      </c>
      <c r="T144" s="330">
        <f t="shared" si="54"/>
        <v>3.5265910499155257</v>
      </c>
      <c r="U144" s="330">
        <f t="shared" si="54"/>
        <v>3.5265910499155257</v>
      </c>
      <c r="V144" s="330">
        <f t="shared" si="54"/>
        <v>3.5265910499155257</v>
      </c>
      <c r="W144" s="330">
        <f t="shared" si="54"/>
        <v>4.8109310555436791</v>
      </c>
      <c r="X144" s="330">
        <f t="shared" si="54"/>
        <v>4.8109310555436791</v>
      </c>
      <c r="Y144" s="330">
        <f t="shared" si="54"/>
        <v>4.8109310555436791</v>
      </c>
      <c r="Z144" s="330">
        <f t="shared" si="54"/>
        <v>4.8109310555436791</v>
      </c>
      <c r="AA144" s="330">
        <f t="shared" si="54"/>
        <v>4.8109310555436791</v>
      </c>
      <c r="AB144" s="330">
        <f t="shared" si="54"/>
        <v>5.6235785870413277</v>
      </c>
      <c r="AC144" s="330">
        <f t="shared" si="54"/>
        <v>5.6235785870413277</v>
      </c>
      <c r="AD144" s="330">
        <f t="shared" si="54"/>
        <v>5.6235785870413277</v>
      </c>
      <c r="AE144" s="330">
        <f t="shared" si="54"/>
        <v>5.6235785870413277</v>
      </c>
      <c r="AF144" s="330">
        <f t="shared" si="54"/>
        <v>5.6235785870413277</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4.9737717859574725E-2</v>
      </c>
      <c r="S145" s="284">
        <f t="shared" si="55"/>
        <v>4.9737717859574725E-2</v>
      </c>
      <c r="T145" s="284">
        <f t="shared" si="55"/>
        <v>4.9737717859574725E-2</v>
      </c>
      <c r="U145" s="284">
        <f t="shared" si="55"/>
        <v>4.9737717859574725E-2</v>
      </c>
      <c r="V145" s="284">
        <f t="shared" si="55"/>
        <v>4.9737717859574725E-2</v>
      </c>
      <c r="W145" s="284">
        <f t="shared" si="55"/>
        <v>5.5694094627573028E-2</v>
      </c>
      <c r="X145" s="284">
        <f t="shared" si="55"/>
        <v>5.5694094627573028E-2</v>
      </c>
      <c r="Y145" s="284">
        <f t="shared" si="55"/>
        <v>5.5694094627573028E-2</v>
      </c>
      <c r="Z145" s="284">
        <f t="shared" si="55"/>
        <v>5.5694094627573028E-2</v>
      </c>
      <c r="AA145" s="284">
        <f t="shared" si="55"/>
        <v>5.5694094627573028E-2</v>
      </c>
      <c r="AB145" s="284">
        <f t="shared" si="55"/>
        <v>4.4177112349520431E-2</v>
      </c>
      <c r="AC145" s="284">
        <f t="shared" si="55"/>
        <v>4.4177112349520431E-2</v>
      </c>
      <c r="AD145" s="284">
        <f t="shared" si="55"/>
        <v>4.4177112349520431E-2</v>
      </c>
      <c r="AE145" s="284">
        <f t="shared" si="55"/>
        <v>4.4177112349520431E-2</v>
      </c>
      <c r="AF145" s="284">
        <f t="shared" si="55"/>
        <v>4.4177112349520431E-2</v>
      </c>
      <c r="AG145" s="284">
        <f t="shared" si="55"/>
        <v>0</v>
      </c>
      <c r="AH145" s="284">
        <f t="shared" si="55"/>
        <v>0</v>
      </c>
      <c r="AI145" s="284">
        <f t="shared" si="55"/>
        <v>0</v>
      </c>
      <c r="AJ145" s="284">
        <f t="shared" si="55"/>
        <v>0.12816320996290698</v>
      </c>
      <c r="AK145" s="270"/>
      <c r="AL145" s="284">
        <f t="shared" si="55"/>
        <v>0.10282741481374987</v>
      </c>
      <c r="AM145" s="270"/>
      <c r="AN145" s="284">
        <f t="shared" si="55"/>
        <v>7.8714520399531474E-2</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14.404999999999999</v>
      </c>
      <c r="K150" s="271">
        <f t="shared" ref="K150:AO150" si="57">ROUND(K121, $H95)</f>
        <v>14.404999999999999</v>
      </c>
      <c r="L150" s="271">
        <f t="shared" si="57"/>
        <v>13.054</v>
      </c>
      <c r="M150" s="271">
        <f t="shared" si="57"/>
        <v>13.054</v>
      </c>
      <c r="N150" s="271">
        <f t="shared" si="57"/>
        <v>13.054</v>
      </c>
      <c r="O150" s="271">
        <f t="shared" si="57"/>
        <v>13.054</v>
      </c>
      <c r="P150" s="271">
        <f t="shared" si="57"/>
        <v>13.054</v>
      </c>
      <c r="Q150" s="271">
        <f t="shared" si="57"/>
        <v>13.054</v>
      </c>
      <c r="R150" s="271">
        <f t="shared" si="57"/>
        <v>8.407</v>
      </c>
      <c r="S150" s="271">
        <f t="shared" si="57"/>
        <v>8.407</v>
      </c>
      <c r="T150" s="271">
        <f t="shared" si="57"/>
        <v>8.407</v>
      </c>
      <c r="U150" s="271">
        <f t="shared" si="57"/>
        <v>8.407</v>
      </c>
      <c r="V150" s="271">
        <f t="shared" si="57"/>
        <v>8.407</v>
      </c>
      <c r="W150" s="271">
        <f t="shared" si="57"/>
        <v>6.5529999999999999</v>
      </c>
      <c r="X150" s="271">
        <f t="shared" si="57"/>
        <v>6.5529999999999999</v>
      </c>
      <c r="Y150" s="271">
        <f t="shared" si="57"/>
        <v>6.5529999999999999</v>
      </c>
      <c r="Z150" s="271">
        <f t="shared" si="57"/>
        <v>6.5529999999999999</v>
      </c>
      <c r="AA150" s="271">
        <f t="shared" si="57"/>
        <v>6.5529999999999999</v>
      </c>
      <c r="AB150" s="271">
        <f t="shared" si="57"/>
        <v>4.8029999999999999</v>
      </c>
      <c r="AC150" s="271">
        <f t="shared" si="57"/>
        <v>4.8029999999999999</v>
      </c>
      <c r="AD150" s="271">
        <f t="shared" si="57"/>
        <v>4.8029999999999999</v>
      </c>
      <c r="AE150" s="271">
        <f t="shared" si="57"/>
        <v>4.8029999999999999</v>
      </c>
      <c r="AF150" s="271">
        <f t="shared" si="57"/>
        <v>4.8029999999999999</v>
      </c>
      <c r="AG150" s="271">
        <f t="shared" si="57"/>
        <v>38.11</v>
      </c>
      <c r="AH150" s="271">
        <f t="shared" si="57"/>
        <v>-8.5660000000000007</v>
      </c>
      <c r="AI150" s="271">
        <f t="shared" si="57"/>
        <v>-7.7569999999999997</v>
      </c>
      <c r="AJ150" s="271">
        <f t="shared" si="57"/>
        <v>-8.5660000000000007</v>
      </c>
      <c r="AK150" s="271">
        <f t="shared" si="57"/>
        <v>-8.5660000000000007</v>
      </c>
      <c r="AL150" s="271">
        <f t="shared" si="57"/>
        <v>-7.7569999999999997</v>
      </c>
      <c r="AM150" s="271">
        <f t="shared" si="57"/>
        <v>-7.7569999999999997</v>
      </c>
      <c r="AN150" s="271">
        <f t="shared" si="57"/>
        <v>-5.2249999999999996</v>
      </c>
      <c r="AO150" s="271">
        <f t="shared" si="57"/>
        <v>-5.2249999999999996</v>
      </c>
      <c r="AP150" s="267"/>
      <c r="AQ150" s="267"/>
    </row>
    <row r="151" spans="1:43" x14ac:dyDescent="0.3">
      <c r="E151" s="88"/>
      <c r="F151" t="s">
        <v>157</v>
      </c>
      <c r="G151" t="s">
        <v>269</v>
      </c>
      <c r="H151" s="279"/>
      <c r="I151" s="267"/>
      <c r="J151" s="272">
        <f t="shared" ref="J151:J156" si="58">ROUND(J122, $H96)</f>
        <v>0.72399999999999998</v>
      </c>
      <c r="K151" s="272">
        <f t="shared" ref="K151:AO151" si="59">ROUND(K122, $H96)</f>
        <v>0.72399999999999998</v>
      </c>
      <c r="L151" s="272">
        <f t="shared" si="59"/>
        <v>0.65600000000000003</v>
      </c>
      <c r="M151" s="272">
        <f t="shared" si="59"/>
        <v>0.65600000000000003</v>
      </c>
      <c r="N151" s="272">
        <f t="shared" si="59"/>
        <v>0.65600000000000003</v>
      </c>
      <c r="O151" s="272">
        <f t="shared" si="59"/>
        <v>0.65600000000000003</v>
      </c>
      <c r="P151" s="272">
        <f t="shared" si="59"/>
        <v>0.65600000000000003</v>
      </c>
      <c r="Q151" s="272">
        <f t="shared" si="59"/>
        <v>0.65600000000000003</v>
      </c>
      <c r="R151" s="272">
        <f t="shared" si="59"/>
        <v>0.38300000000000001</v>
      </c>
      <c r="S151" s="272">
        <f t="shared" si="59"/>
        <v>0.38300000000000001</v>
      </c>
      <c r="T151" s="272">
        <f t="shared" si="59"/>
        <v>0.38300000000000001</v>
      </c>
      <c r="U151" s="272">
        <f t="shared" si="59"/>
        <v>0.38300000000000001</v>
      </c>
      <c r="V151" s="272">
        <f t="shared" si="59"/>
        <v>0.38300000000000001</v>
      </c>
      <c r="W151" s="272">
        <f t="shared" si="59"/>
        <v>0.23599999999999999</v>
      </c>
      <c r="X151" s="272">
        <f t="shared" si="59"/>
        <v>0.23599999999999999</v>
      </c>
      <c r="Y151" s="272">
        <f t="shared" si="59"/>
        <v>0.23599999999999999</v>
      </c>
      <c r="Z151" s="272">
        <f t="shared" si="59"/>
        <v>0.23599999999999999</v>
      </c>
      <c r="AA151" s="272">
        <f t="shared" si="59"/>
        <v>0.23599999999999999</v>
      </c>
      <c r="AB151" s="272">
        <f t="shared" si="59"/>
        <v>0.13100000000000001</v>
      </c>
      <c r="AC151" s="272">
        <f t="shared" si="59"/>
        <v>0.13100000000000001</v>
      </c>
      <c r="AD151" s="272">
        <f t="shared" si="59"/>
        <v>0.13100000000000001</v>
      </c>
      <c r="AE151" s="272">
        <f t="shared" si="59"/>
        <v>0.13100000000000001</v>
      </c>
      <c r="AF151" s="272">
        <f t="shared" si="59"/>
        <v>0.13100000000000001</v>
      </c>
      <c r="AG151" s="272">
        <f t="shared" si="59"/>
        <v>3.4180000000000001</v>
      </c>
      <c r="AH151" s="272">
        <f t="shared" si="59"/>
        <v>-0.43</v>
      </c>
      <c r="AI151" s="272">
        <f t="shared" si="59"/>
        <v>-0.36699999999999999</v>
      </c>
      <c r="AJ151" s="272">
        <f t="shared" si="59"/>
        <v>-0.43</v>
      </c>
      <c r="AK151" s="272">
        <f t="shared" si="59"/>
        <v>-0.43</v>
      </c>
      <c r="AL151" s="272">
        <f t="shared" si="59"/>
        <v>-0.36699999999999999</v>
      </c>
      <c r="AM151" s="272">
        <f t="shared" si="59"/>
        <v>-0.36699999999999999</v>
      </c>
      <c r="AN151" s="272">
        <f t="shared" si="59"/>
        <v>-0.17100000000000001</v>
      </c>
      <c r="AO151" s="272">
        <f t="shared" si="59"/>
        <v>-0.17100000000000001</v>
      </c>
      <c r="AP151" s="267"/>
      <c r="AQ151" s="267"/>
    </row>
    <row r="152" spans="1:43" x14ac:dyDescent="0.3">
      <c r="E152" s="88"/>
      <c r="F152" t="s">
        <v>158</v>
      </c>
      <c r="G152" t="s">
        <v>269</v>
      </c>
      <c r="H152" s="279"/>
      <c r="I152" s="267"/>
      <c r="J152" s="272">
        <f t="shared" si="58"/>
        <v>6.9000000000000006E-2</v>
      </c>
      <c r="K152" s="272">
        <f t="shared" ref="K152:AO152" si="60">ROUND(K123, $H97)</f>
        <v>6.9000000000000006E-2</v>
      </c>
      <c r="L152" s="272">
        <f t="shared" si="60"/>
        <v>6.2E-2</v>
      </c>
      <c r="M152" s="272">
        <f t="shared" si="60"/>
        <v>6.2E-2</v>
      </c>
      <c r="N152" s="272">
        <f t="shared" si="60"/>
        <v>6.2E-2</v>
      </c>
      <c r="O152" s="272">
        <f t="shared" si="60"/>
        <v>6.2E-2</v>
      </c>
      <c r="P152" s="272">
        <f t="shared" si="60"/>
        <v>6.2E-2</v>
      </c>
      <c r="Q152" s="272">
        <f t="shared" si="60"/>
        <v>6.2E-2</v>
      </c>
      <c r="R152" s="272">
        <f t="shared" si="60"/>
        <v>3.5999999999999997E-2</v>
      </c>
      <c r="S152" s="272">
        <f t="shared" si="60"/>
        <v>3.5999999999999997E-2</v>
      </c>
      <c r="T152" s="272">
        <f t="shared" si="60"/>
        <v>3.5999999999999997E-2</v>
      </c>
      <c r="U152" s="272">
        <f t="shared" si="60"/>
        <v>3.5999999999999997E-2</v>
      </c>
      <c r="V152" s="272">
        <f t="shared" si="60"/>
        <v>3.5999999999999997E-2</v>
      </c>
      <c r="W152" s="272">
        <f t="shared" si="60"/>
        <v>2.1999999999999999E-2</v>
      </c>
      <c r="X152" s="272">
        <f t="shared" si="60"/>
        <v>2.1999999999999999E-2</v>
      </c>
      <c r="Y152" s="272">
        <f t="shared" si="60"/>
        <v>2.1999999999999999E-2</v>
      </c>
      <c r="Z152" s="272">
        <f t="shared" si="60"/>
        <v>2.1999999999999999E-2</v>
      </c>
      <c r="AA152" s="272">
        <f t="shared" si="60"/>
        <v>2.1999999999999999E-2</v>
      </c>
      <c r="AB152" s="272">
        <f t="shared" si="60"/>
        <v>1.2E-2</v>
      </c>
      <c r="AC152" s="272">
        <f t="shared" si="60"/>
        <v>1.2E-2</v>
      </c>
      <c r="AD152" s="272">
        <f t="shared" si="60"/>
        <v>1.2E-2</v>
      </c>
      <c r="AE152" s="272">
        <f t="shared" si="60"/>
        <v>1.2E-2</v>
      </c>
      <c r="AF152" s="272">
        <f t="shared" si="60"/>
        <v>1.2E-2</v>
      </c>
      <c r="AG152" s="272">
        <f t="shared" si="60"/>
        <v>2.5</v>
      </c>
      <c r="AH152" s="272">
        <f t="shared" si="60"/>
        <v>-4.1000000000000002E-2</v>
      </c>
      <c r="AI152" s="272">
        <f t="shared" si="60"/>
        <v>-3.5000000000000003E-2</v>
      </c>
      <c r="AJ152" s="272">
        <f t="shared" si="60"/>
        <v>-4.1000000000000002E-2</v>
      </c>
      <c r="AK152" s="272">
        <f t="shared" si="60"/>
        <v>-4.1000000000000002E-2</v>
      </c>
      <c r="AL152" s="272">
        <f t="shared" si="60"/>
        <v>-3.5000000000000003E-2</v>
      </c>
      <c r="AM152" s="272">
        <f t="shared" si="60"/>
        <v>-3.5000000000000003E-2</v>
      </c>
      <c r="AN152" s="272">
        <f t="shared" si="60"/>
        <v>-1.6E-2</v>
      </c>
      <c r="AO152" s="272">
        <f t="shared" si="60"/>
        <v>-1.6E-2</v>
      </c>
      <c r="AP152" s="267"/>
      <c r="AQ152" s="267"/>
    </row>
    <row r="153" spans="1:43" x14ac:dyDescent="0.3">
      <c r="E153" s="88"/>
      <c r="F153" t="s">
        <v>159</v>
      </c>
      <c r="G153" t="s">
        <v>270</v>
      </c>
      <c r="H153" s="51"/>
      <c r="J153" s="121">
        <f t="shared" si="58"/>
        <v>28.97</v>
      </c>
      <c r="K153" s="121">
        <f t="shared" ref="K153:AO153" si="61">ROUND(K124, $H98)</f>
        <v>0</v>
      </c>
      <c r="L153" s="121">
        <f t="shared" si="61"/>
        <v>10.220000000000001</v>
      </c>
      <c r="M153" s="121">
        <f t="shared" si="61"/>
        <v>15.49</v>
      </c>
      <c r="N153" s="121">
        <f t="shared" si="61"/>
        <v>41.65</v>
      </c>
      <c r="O153" s="121">
        <f t="shared" si="61"/>
        <v>85.63</v>
      </c>
      <c r="P153" s="121">
        <f t="shared" si="61"/>
        <v>253.64</v>
      </c>
      <c r="Q153" s="121">
        <f t="shared" si="61"/>
        <v>0</v>
      </c>
      <c r="R153" s="121">
        <f t="shared" si="61"/>
        <v>14.23</v>
      </c>
      <c r="S153" s="121">
        <f t="shared" si="61"/>
        <v>355.55</v>
      </c>
      <c r="T153" s="121">
        <f t="shared" si="61"/>
        <v>690.61</v>
      </c>
      <c r="U153" s="121">
        <f t="shared" si="61"/>
        <v>1109.1400000000001</v>
      </c>
      <c r="V153" s="121">
        <f t="shared" si="61"/>
        <v>2420.69</v>
      </c>
      <c r="W153" s="121">
        <f t="shared" si="61"/>
        <v>11.13</v>
      </c>
      <c r="X153" s="121">
        <f t="shared" si="61"/>
        <v>352.45</v>
      </c>
      <c r="Y153" s="121">
        <f t="shared" si="61"/>
        <v>687.5</v>
      </c>
      <c r="Z153" s="121">
        <f t="shared" si="61"/>
        <v>1106.04</v>
      </c>
      <c r="AA153" s="121">
        <f t="shared" si="61"/>
        <v>2417.59</v>
      </c>
      <c r="AB153" s="121">
        <f t="shared" si="61"/>
        <v>101.97</v>
      </c>
      <c r="AC153" s="121">
        <f t="shared" si="61"/>
        <v>1690.9</v>
      </c>
      <c r="AD153" s="121">
        <f t="shared" si="61"/>
        <v>6065.04</v>
      </c>
      <c r="AE153" s="121">
        <f t="shared" si="61"/>
        <v>12677.57</v>
      </c>
      <c r="AF153" s="121">
        <f t="shared" si="61"/>
        <v>32142.53</v>
      </c>
      <c r="AG153" s="121">
        <f t="shared" si="61"/>
        <v>0</v>
      </c>
      <c r="AH153" s="121">
        <f t="shared" si="61"/>
        <v>0</v>
      </c>
      <c r="AI153" s="121">
        <f t="shared" si="61"/>
        <v>0</v>
      </c>
      <c r="AJ153" s="121">
        <f t="shared" si="61"/>
        <v>0</v>
      </c>
      <c r="AK153" s="121">
        <f t="shared" si="61"/>
        <v>0</v>
      </c>
      <c r="AL153" s="121">
        <f t="shared" si="61"/>
        <v>0</v>
      </c>
      <c r="AM153" s="121">
        <f t="shared" si="61"/>
        <v>0</v>
      </c>
      <c r="AN153" s="121">
        <f t="shared" si="61"/>
        <v>63.76</v>
      </c>
      <c r="AO153" s="121">
        <f t="shared" si="61"/>
        <v>63.76</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3.98</v>
      </c>
      <c r="S154" s="121">
        <f t="shared" si="62"/>
        <v>3.98</v>
      </c>
      <c r="T154" s="121">
        <f t="shared" si="62"/>
        <v>3.98</v>
      </c>
      <c r="U154" s="121">
        <f t="shared" si="62"/>
        <v>3.98</v>
      </c>
      <c r="V154" s="121">
        <f t="shared" si="62"/>
        <v>3.98</v>
      </c>
      <c r="W154" s="121">
        <f t="shared" si="62"/>
        <v>3.61</v>
      </c>
      <c r="X154" s="121">
        <f t="shared" si="62"/>
        <v>3.61</v>
      </c>
      <c r="Y154" s="121">
        <f t="shared" si="62"/>
        <v>3.61</v>
      </c>
      <c r="Z154" s="121">
        <f t="shared" si="62"/>
        <v>3.61</v>
      </c>
      <c r="AA154" s="121">
        <f t="shared" si="62"/>
        <v>3.61</v>
      </c>
      <c r="AB154" s="121">
        <f t="shared" si="62"/>
        <v>3.07</v>
      </c>
      <c r="AC154" s="121">
        <f t="shared" si="62"/>
        <v>3.07</v>
      </c>
      <c r="AD154" s="121">
        <f t="shared" si="62"/>
        <v>3.07</v>
      </c>
      <c r="AE154" s="121">
        <f t="shared" si="62"/>
        <v>3.07</v>
      </c>
      <c r="AF154" s="121">
        <f t="shared" si="62"/>
        <v>3.07</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8.3000000000000007</v>
      </c>
      <c r="S155" s="121">
        <f t="shared" si="63"/>
        <v>8.3000000000000007</v>
      </c>
      <c r="T155" s="121">
        <f t="shared" si="63"/>
        <v>8.3000000000000007</v>
      </c>
      <c r="U155" s="121">
        <f t="shared" si="63"/>
        <v>8.3000000000000007</v>
      </c>
      <c r="V155" s="121">
        <f t="shared" si="63"/>
        <v>8.3000000000000007</v>
      </c>
      <c r="W155" s="121">
        <f t="shared" si="63"/>
        <v>6.88</v>
      </c>
      <c r="X155" s="121">
        <f t="shared" si="63"/>
        <v>6.88</v>
      </c>
      <c r="Y155" s="121">
        <f t="shared" si="63"/>
        <v>6.88</v>
      </c>
      <c r="Z155" s="121">
        <f t="shared" si="63"/>
        <v>6.88</v>
      </c>
      <c r="AA155" s="121">
        <f t="shared" si="63"/>
        <v>6.88</v>
      </c>
      <c r="AB155" s="121">
        <f t="shared" si="63"/>
        <v>6.78</v>
      </c>
      <c r="AC155" s="121">
        <f t="shared" si="63"/>
        <v>6.78</v>
      </c>
      <c r="AD155" s="121">
        <f t="shared" si="63"/>
        <v>6.78</v>
      </c>
      <c r="AE155" s="121">
        <f t="shared" si="63"/>
        <v>6.78</v>
      </c>
      <c r="AF155" s="121">
        <f t="shared" si="63"/>
        <v>6.78</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0.11700000000000001</v>
      </c>
      <c r="S156" s="273">
        <f t="shared" si="64"/>
        <v>0.11700000000000001</v>
      </c>
      <c r="T156" s="273">
        <f t="shared" si="64"/>
        <v>0.11700000000000001</v>
      </c>
      <c r="U156" s="273">
        <f t="shared" si="64"/>
        <v>0.11700000000000001</v>
      </c>
      <c r="V156" s="273">
        <f t="shared" si="64"/>
        <v>0.11700000000000001</v>
      </c>
      <c r="W156" s="273">
        <f t="shared" si="64"/>
        <v>0.08</v>
      </c>
      <c r="X156" s="273">
        <f t="shared" si="64"/>
        <v>0.08</v>
      </c>
      <c r="Y156" s="273">
        <f t="shared" si="64"/>
        <v>0.08</v>
      </c>
      <c r="Z156" s="273">
        <f t="shared" si="64"/>
        <v>0.08</v>
      </c>
      <c r="AA156" s="273">
        <f t="shared" si="64"/>
        <v>0.08</v>
      </c>
      <c r="AB156" s="273">
        <f t="shared" si="64"/>
        <v>5.2999999999999999E-2</v>
      </c>
      <c r="AC156" s="273">
        <f t="shared" si="64"/>
        <v>5.2999999999999999E-2</v>
      </c>
      <c r="AD156" s="273">
        <f t="shared" si="64"/>
        <v>5.2999999999999999E-2</v>
      </c>
      <c r="AE156" s="273">
        <f t="shared" si="64"/>
        <v>5.2999999999999999E-2</v>
      </c>
      <c r="AF156" s="273">
        <f t="shared" si="64"/>
        <v>5.2999999999999999E-2</v>
      </c>
      <c r="AG156" s="273">
        <f t="shared" si="64"/>
        <v>0</v>
      </c>
      <c r="AH156" s="273">
        <f t="shared" si="64"/>
        <v>0</v>
      </c>
      <c r="AI156" s="273">
        <f t="shared" si="64"/>
        <v>0</v>
      </c>
      <c r="AJ156" s="273">
        <f t="shared" si="64"/>
        <v>0.128</v>
      </c>
      <c r="AK156" s="273">
        <f t="shared" si="64"/>
        <v>0</v>
      </c>
      <c r="AL156" s="273">
        <f t="shared" si="64"/>
        <v>0.10299999999999999</v>
      </c>
      <c r="AM156" s="273">
        <f t="shared" si="64"/>
        <v>0</v>
      </c>
      <c r="AN156" s="273">
        <f t="shared" si="64"/>
        <v>7.9000000000000001E-2</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8.9179999999999993</v>
      </c>
      <c r="K159" s="271">
        <f t="shared" ref="K159:AO159" si="65">ROUND(K130, $H95)</f>
        <v>8.9179999999999993</v>
      </c>
      <c r="L159" s="271">
        <f t="shared" si="65"/>
        <v>8.0820000000000007</v>
      </c>
      <c r="M159" s="271">
        <f t="shared" si="65"/>
        <v>8.0820000000000007</v>
      </c>
      <c r="N159" s="271">
        <f t="shared" si="65"/>
        <v>8.0820000000000007</v>
      </c>
      <c r="O159" s="271">
        <f t="shared" si="65"/>
        <v>8.0820000000000007</v>
      </c>
      <c r="P159" s="271">
        <f t="shared" si="65"/>
        <v>8.0820000000000007</v>
      </c>
      <c r="Q159" s="271">
        <f t="shared" si="65"/>
        <v>8.0820000000000007</v>
      </c>
      <c r="R159" s="271">
        <f t="shared" si="65"/>
        <v>5.2050000000000001</v>
      </c>
      <c r="S159" s="271">
        <f t="shared" si="65"/>
        <v>5.2050000000000001</v>
      </c>
      <c r="T159" s="271">
        <f t="shared" si="65"/>
        <v>5.2050000000000001</v>
      </c>
      <c r="U159" s="271">
        <f t="shared" si="65"/>
        <v>5.2050000000000001</v>
      </c>
      <c r="V159" s="271">
        <f t="shared" si="65"/>
        <v>5.2050000000000001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23.594000000000001</v>
      </c>
      <c r="AH159" s="271">
        <f t="shared" si="65"/>
        <v>-8.5660000000000007</v>
      </c>
      <c r="AI159" s="280">
        <f t="shared" si="65"/>
        <v>0</v>
      </c>
      <c r="AJ159" s="271">
        <f t="shared" si="65"/>
        <v>-8.5660000000000007</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0.44800000000000001</v>
      </c>
      <c r="K160" s="272">
        <f t="shared" ref="K160:AO160" si="67">ROUND(K131, $H96)</f>
        <v>0.44800000000000001</v>
      </c>
      <c r="L160" s="272">
        <f t="shared" si="67"/>
        <v>0.40600000000000003</v>
      </c>
      <c r="M160" s="272">
        <f t="shared" si="67"/>
        <v>0.40600000000000003</v>
      </c>
      <c r="N160" s="272">
        <f t="shared" si="67"/>
        <v>0.40600000000000003</v>
      </c>
      <c r="O160" s="272">
        <f t="shared" si="67"/>
        <v>0.40600000000000003</v>
      </c>
      <c r="P160" s="272">
        <f t="shared" si="67"/>
        <v>0.40600000000000003</v>
      </c>
      <c r="Q160" s="272">
        <f t="shared" si="67"/>
        <v>0.40600000000000003</v>
      </c>
      <c r="R160" s="272">
        <f t="shared" si="67"/>
        <v>0.23699999999999999</v>
      </c>
      <c r="S160" s="272">
        <f t="shared" si="67"/>
        <v>0.23699999999999999</v>
      </c>
      <c r="T160" s="272">
        <f t="shared" si="67"/>
        <v>0.23699999999999999</v>
      </c>
      <c r="U160" s="272">
        <f t="shared" si="67"/>
        <v>0.23699999999999999</v>
      </c>
      <c r="V160" s="272">
        <f t="shared" si="67"/>
        <v>0.23699999999999999</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2.1160000000000001</v>
      </c>
      <c r="AH160" s="272">
        <f t="shared" si="67"/>
        <v>-0.43</v>
      </c>
      <c r="AI160" s="268">
        <f t="shared" si="67"/>
        <v>0</v>
      </c>
      <c r="AJ160" s="272">
        <f t="shared" si="67"/>
        <v>-0.43</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4.2999999999999997E-2</v>
      </c>
      <c r="K161" s="272">
        <f t="shared" ref="K161:AO161" si="68">ROUND(K132, $H97)</f>
        <v>4.2999999999999997E-2</v>
      </c>
      <c r="L161" s="272">
        <f t="shared" si="68"/>
        <v>3.9E-2</v>
      </c>
      <c r="M161" s="272">
        <f t="shared" si="68"/>
        <v>3.9E-2</v>
      </c>
      <c r="N161" s="272">
        <f t="shared" si="68"/>
        <v>3.9E-2</v>
      </c>
      <c r="O161" s="272">
        <f t="shared" si="68"/>
        <v>3.9E-2</v>
      </c>
      <c r="P161" s="272">
        <f t="shared" si="68"/>
        <v>3.9E-2</v>
      </c>
      <c r="Q161" s="272">
        <f t="shared" si="68"/>
        <v>3.9E-2</v>
      </c>
      <c r="R161" s="272">
        <f t="shared" si="68"/>
        <v>2.1999999999999999E-2</v>
      </c>
      <c r="S161" s="272">
        <f t="shared" si="68"/>
        <v>2.1999999999999999E-2</v>
      </c>
      <c r="T161" s="272">
        <f t="shared" si="68"/>
        <v>2.1999999999999999E-2</v>
      </c>
      <c r="U161" s="272">
        <f t="shared" si="68"/>
        <v>2.1999999999999999E-2</v>
      </c>
      <c r="V161" s="272">
        <f t="shared" si="68"/>
        <v>2.1999999999999999E-2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1.548</v>
      </c>
      <c r="AH161" s="272">
        <f t="shared" si="68"/>
        <v>-4.1000000000000002E-2</v>
      </c>
      <c r="AI161" s="268">
        <f t="shared" si="68"/>
        <v>0</v>
      </c>
      <c r="AJ161" s="272">
        <f t="shared" si="68"/>
        <v>-4.1000000000000002E-2</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21.61</v>
      </c>
      <c r="K162" s="121">
        <f t="shared" ref="K162:AO162" si="69">ROUND(K133, $H98)</f>
        <v>0</v>
      </c>
      <c r="L162" s="121">
        <f t="shared" si="69"/>
        <v>6.36</v>
      </c>
      <c r="M162" s="121">
        <f t="shared" si="69"/>
        <v>9.6300000000000008</v>
      </c>
      <c r="N162" s="121">
        <f t="shared" si="69"/>
        <v>25.82</v>
      </c>
      <c r="O162" s="121">
        <f t="shared" si="69"/>
        <v>53.05</v>
      </c>
      <c r="P162" s="121">
        <f t="shared" si="69"/>
        <v>157.07</v>
      </c>
      <c r="Q162" s="121">
        <f t="shared" si="69"/>
        <v>0</v>
      </c>
      <c r="R162" s="121">
        <f t="shared" si="69"/>
        <v>8.85</v>
      </c>
      <c r="S162" s="121">
        <f t="shared" si="69"/>
        <v>220.16</v>
      </c>
      <c r="T162" s="121">
        <f t="shared" si="69"/>
        <v>427.59</v>
      </c>
      <c r="U162" s="121">
        <f t="shared" si="69"/>
        <v>686.71</v>
      </c>
      <c r="V162" s="121">
        <f t="shared" si="69"/>
        <v>1498.68</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2.4700000000000002</v>
      </c>
      <c r="S163" s="121">
        <f t="shared" si="70"/>
        <v>2.4700000000000002</v>
      </c>
      <c r="T163" s="121">
        <f t="shared" si="70"/>
        <v>2.4700000000000002</v>
      </c>
      <c r="U163" s="121">
        <f t="shared" si="70"/>
        <v>2.4700000000000002</v>
      </c>
      <c r="V163" s="121">
        <f t="shared" si="70"/>
        <v>2.4700000000000002</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5.14</v>
      </c>
      <c r="S164" s="121">
        <f t="shared" si="71"/>
        <v>5.14</v>
      </c>
      <c r="T164" s="121">
        <f t="shared" si="71"/>
        <v>5.14</v>
      </c>
      <c r="U164" s="121">
        <f t="shared" si="71"/>
        <v>5.14</v>
      </c>
      <c r="V164" s="121">
        <f t="shared" si="71"/>
        <v>5.14</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7.1999999999999995E-2</v>
      </c>
      <c r="S165" s="273">
        <f t="shared" si="72"/>
        <v>7.1999999999999995E-2</v>
      </c>
      <c r="T165" s="273">
        <f t="shared" si="72"/>
        <v>7.1999999999999995E-2</v>
      </c>
      <c r="U165" s="273">
        <f t="shared" si="72"/>
        <v>7.1999999999999995E-2</v>
      </c>
      <c r="V165" s="273">
        <f t="shared" si="72"/>
        <v>7.1999999999999995E-2</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0.128</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6.1219999999999999</v>
      </c>
      <c r="K168" s="271">
        <f t="shared" ref="K168:AO168" si="74">ROUND( K139, $H95)</f>
        <v>6.1219999999999999</v>
      </c>
      <c r="L168" s="271">
        <f t="shared" si="74"/>
        <v>5.548</v>
      </c>
      <c r="M168" s="271">
        <f t="shared" si="74"/>
        <v>5.548</v>
      </c>
      <c r="N168" s="271">
        <f t="shared" si="74"/>
        <v>5.548</v>
      </c>
      <c r="O168" s="271">
        <f t="shared" si="74"/>
        <v>5.548</v>
      </c>
      <c r="P168" s="271">
        <f t="shared" si="74"/>
        <v>5.548</v>
      </c>
      <c r="Q168" s="271">
        <f t="shared" si="74"/>
        <v>5.548</v>
      </c>
      <c r="R168" s="271">
        <f t="shared" si="74"/>
        <v>3.573</v>
      </c>
      <c r="S168" s="271">
        <f t="shared" si="74"/>
        <v>3.573</v>
      </c>
      <c r="T168" s="271">
        <f t="shared" si="74"/>
        <v>3.573</v>
      </c>
      <c r="U168" s="271">
        <f t="shared" si="74"/>
        <v>3.573</v>
      </c>
      <c r="V168" s="271">
        <f t="shared" si="74"/>
        <v>3.573</v>
      </c>
      <c r="W168" s="271">
        <f t="shared" si="74"/>
        <v>4.585</v>
      </c>
      <c r="X168" s="271">
        <f t="shared" si="74"/>
        <v>4.585</v>
      </c>
      <c r="Y168" s="271">
        <f t="shared" si="74"/>
        <v>4.585</v>
      </c>
      <c r="Z168" s="271">
        <f t="shared" si="74"/>
        <v>4.585</v>
      </c>
      <c r="AA168" s="271">
        <f t="shared" si="74"/>
        <v>4.585</v>
      </c>
      <c r="AB168" s="271">
        <f t="shared" si="74"/>
        <v>3.984</v>
      </c>
      <c r="AC168" s="271">
        <f t="shared" si="74"/>
        <v>3.984</v>
      </c>
      <c r="AD168" s="271">
        <f t="shared" si="74"/>
        <v>3.984</v>
      </c>
      <c r="AE168" s="271">
        <f t="shared" si="74"/>
        <v>3.984</v>
      </c>
      <c r="AF168" s="271">
        <f t="shared" si="74"/>
        <v>3.984</v>
      </c>
      <c r="AG168" s="271">
        <f t="shared" si="74"/>
        <v>16.196000000000002</v>
      </c>
      <c r="AH168" s="271">
        <f t="shared" si="74"/>
        <v>-8.5660000000000007</v>
      </c>
      <c r="AI168" s="271">
        <f t="shared" si="74"/>
        <v>-7.7569999999999997</v>
      </c>
      <c r="AJ168" s="271">
        <f t="shared" si="74"/>
        <v>-8.5660000000000007</v>
      </c>
      <c r="AK168" s="280">
        <f t="shared" si="74"/>
        <v>0</v>
      </c>
      <c r="AL168" s="271">
        <f t="shared" si="74"/>
        <v>-7.7569999999999997</v>
      </c>
      <c r="AM168" s="280">
        <f t="shared" si="74"/>
        <v>0</v>
      </c>
      <c r="AN168" s="271">
        <f t="shared" si="74"/>
        <v>-5.2249999999999996</v>
      </c>
      <c r="AO168" s="280">
        <f t="shared" si="74"/>
        <v>0</v>
      </c>
      <c r="AP168" s="267"/>
      <c r="AQ168" s="267"/>
    </row>
    <row r="169" spans="2:43" x14ac:dyDescent="0.3">
      <c r="C169" s="88"/>
      <c r="F169" t="s">
        <v>157</v>
      </c>
      <c r="G169" t="s">
        <v>269</v>
      </c>
      <c r="H169" s="279"/>
      <c r="I169" s="267"/>
      <c r="J169" s="272">
        <f t="shared" ref="J169:J174" si="75">ROUND( J140, $H96)</f>
        <v>0.308</v>
      </c>
      <c r="K169" s="272">
        <f t="shared" ref="K169:AO169" si="76">ROUND( K140, $H96)</f>
        <v>0.308</v>
      </c>
      <c r="L169" s="272">
        <f t="shared" si="76"/>
        <v>0.27900000000000003</v>
      </c>
      <c r="M169" s="272">
        <f t="shared" si="76"/>
        <v>0.27900000000000003</v>
      </c>
      <c r="N169" s="272">
        <f t="shared" si="76"/>
        <v>0.27900000000000003</v>
      </c>
      <c r="O169" s="272">
        <f t="shared" si="76"/>
        <v>0.27900000000000003</v>
      </c>
      <c r="P169" s="272">
        <f t="shared" si="76"/>
        <v>0.27900000000000003</v>
      </c>
      <c r="Q169" s="272">
        <f t="shared" si="76"/>
        <v>0.27900000000000003</v>
      </c>
      <c r="R169" s="272">
        <f t="shared" si="76"/>
        <v>0.16300000000000001</v>
      </c>
      <c r="S169" s="272">
        <f t="shared" si="76"/>
        <v>0.16300000000000001</v>
      </c>
      <c r="T169" s="272">
        <f t="shared" si="76"/>
        <v>0.16300000000000001</v>
      </c>
      <c r="U169" s="272">
        <f t="shared" si="76"/>
        <v>0.16300000000000001</v>
      </c>
      <c r="V169" s="272">
        <f t="shared" si="76"/>
        <v>0.16300000000000001</v>
      </c>
      <c r="W169" s="272">
        <f t="shared" si="76"/>
        <v>0.16500000000000001</v>
      </c>
      <c r="X169" s="272">
        <f t="shared" si="76"/>
        <v>0.16500000000000001</v>
      </c>
      <c r="Y169" s="272">
        <f t="shared" si="76"/>
        <v>0.16500000000000001</v>
      </c>
      <c r="Z169" s="272">
        <f t="shared" si="76"/>
        <v>0.16500000000000001</v>
      </c>
      <c r="AA169" s="272">
        <f t="shared" si="76"/>
        <v>0.16500000000000001</v>
      </c>
      <c r="AB169" s="272">
        <f t="shared" si="76"/>
        <v>0.109</v>
      </c>
      <c r="AC169" s="272">
        <f t="shared" si="76"/>
        <v>0.109</v>
      </c>
      <c r="AD169" s="272">
        <f t="shared" si="76"/>
        <v>0.109</v>
      </c>
      <c r="AE169" s="272">
        <f t="shared" si="76"/>
        <v>0.109</v>
      </c>
      <c r="AF169" s="272">
        <f t="shared" si="76"/>
        <v>0.109</v>
      </c>
      <c r="AG169" s="272">
        <f t="shared" si="76"/>
        <v>1.4530000000000001</v>
      </c>
      <c r="AH169" s="272">
        <f t="shared" si="76"/>
        <v>-0.43</v>
      </c>
      <c r="AI169" s="272">
        <f t="shared" si="76"/>
        <v>-0.36699999999999999</v>
      </c>
      <c r="AJ169" s="272">
        <f t="shared" si="76"/>
        <v>-0.43</v>
      </c>
      <c r="AK169" s="268">
        <f t="shared" si="76"/>
        <v>0</v>
      </c>
      <c r="AL169" s="272">
        <f t="shared" si="76"/>
        <v>-0.36699999999999999</v>
      </c>
      <c r="AM169" s="268">
        <f t="shared" si="76"/>
        <v>0</v>
      </c>
      <c r="AN169" s="272">
        <f t="shared" si="76"/>
        <v>-0.17100000000000001</v>
      </c>
      <c r="AO169" s="268">
        <f t="shared" si="76"/>
        <v>0</v>
      </c>
      <c r="AP169" s="267"/>
      <c r="AQ169" s="267"/>
    </row>
    <row r="170" spans="2:43" x14ac:dyDescent="0.3">
      <c r="C170" s="88"/>
      <c r="F170" t="s">
        <v>158</v>
      </c>
      <c r="G170" t="s">
        <v>269</v>
      </c>
      <c r="H170" s="279"/>
      <c r="I170" s="267"/>
      <c r="J170" s="272">
        <f t="shared" si="75"/>
        <v>2.9000000000000001E-2</v>
      </c>
      <c r="K170" s="272">
        <f t="shared" ref="K170:AO170" si="77">ROUND( K141, $H97)</f>
        <v>2.9000000000000001E-2</v>
      </c>
      <c r="L170" s="272">
        <f t="shared" si="77"/>
        <v>2.5999999999999999E-2</v>
      </c>
      <c r="M170" s="272">
        <f t="shared" si="77"/>
        <v>2.5999999999999999E-2</v>
      </c>
      <c r="N170" s="272">
        <f t="shared" si="77"/>
        <v>2.5999999999999999E-2</v>
      </c>
      <c r="O170" s="272">
        <f t="shared" si="77"/>
        <v>2.5999999999999999E-2</v>
      </c>
      <c r="P170" s="272">
        <f t="shared" si="77"/>
        <v>2.5999999999999999E-2</v>
      </c>
      <c r="Q170" s="272">
        <f t="shared" si="77"/>
        <v>2.5999999999999999E-2</v>
      </c>
      <c r="R170" s="272">
        <f t="shared" si="77"/>
        <v>1.4999999999999999E-2</v>
      </c>
      <c r="S170" s="272">
        <f t="shared" si="77"/>
        <v>1.4999999999999999E-2</v>
      </c>
      <c r="T170" s="272">
        <f t="shared" si="77"/>
        <v>1.4999999999999999E-2</v>
      </c>
      <c r="U170" s="272">
        <f t="shared" si="77"/>
        <v>1.4999999999999999E-2</v>
      </c>
      <c r="V170" s="272">
        <f t="shared" si="77"/>
        <v>1.4999999999999999E-2</v>
      </c>
      <c r="W170" s="272">
        <f t="shared" si="77"/>
        <v>1.4999999999999999E-2</v>
      </c>
      <c r="X170" s="272">
        <f t="shared" si="77"/>
        <v>1.4999999999999999E-2</v>
      </c>
      <c r="Y170" s="272">
        <f t="shared" si="77"/>
        <v>1.4999999999999999E-2</v>
      </c>
      <c r="Z170" s="272">
        <f t="shared" si="77"/>
        <v>1.4999999999999999E-2</v>
      </c>
      <c r="AA170" s="272">
        <f t="shared" si="77"/>
        <v>1.4999999999999999E-2</v>
      </c>
      <c r="AB170" s="272">
        <f t="shared" si="77"/>
        <v>0.01</v>
      </c>
      <c r="AC170" s="272">
        <f t="shared" si="77"/>
        <v>0.01</v>
      </c>
      <c r="AD170" s="272">
        <f t="shared" si="77"/>
        <v>0.01</v>
      </c>
      <c r="AE170" s="272">
        <f t="shared" si="77"/>
        <v>0.01</v>
      </c>
      <c r="AF170" s="272">
        <f t="shared" si="77"/>
        <v>0.01</v>
      </c>
      <c r="AG170" s="272">
        <f t="shared" si="77"/>
        <v>1.0620000000000001</v>
      </c>
      <c r="AH170" s="272">
        <f t="shared" si="77"/>
        <v>-4.1000000000000002E-2</v>
      </c>
      <c r="AI170" s="272">
        <f t="shared" si="77"/>
        <v>-3.5000000000000003E-2</v>
      </c>
      <c r="AJ170" s="272">
        <f t="shared" si="77"/>
        <v>-4.1000000000000002E-2</v>
      </c>
      <c r="AK170" s="268">
        <f t="shared" si="77"/>
        <v>0</v>
      </c>
      <c r="AL170" s="272">
        <f t="shared" si="77"/>
        <v>-3.5000000000000003E-2</v>
      </c>
      <c r="AM170" s="268">
        <f t="shared" si="77"/>
        <v>0</v>
      </c>
      <c r="AN170" s="272">
        <f t="shared" si="77"/>
        <v>-1.6E-2</v>
      </c>
      <c r="AO170" s="268">
        <f t="shared" si="77"/>
        <v>0</v>
      </c>
      <c r="AP170" s="267"/>
      <c r="AQ170" s="267"/>
    </row>
    <row r="171" spans="2:43" x14ac:dyDescent="0.3">
      <c r="C171" s="88"/>
      <c r="F171" t="s">
        <v>159</v>
      </c>
      <c r="G171" t="s">
        <v>270</v>
      </c>
      <c r="H171" s="51"/>
      <c r="J171" s="121">
        <f t="shared" si="75"/>
        <v>17.86</v>
      </c>
      <c r="K171" s="121">
        <f t="shared" ref="K171:AO171" si="78">ROUND( K142, $H98)</f>
        <v>0</v>
      </c>
      <c r="L171" s="121">
        <f t="shared" si="78"/>
        <v>4.4000000000000004</v>
      </c>
      <c r="M171" s="121">
        <f t="shared" si="78"/>
        <v>6.64</v>
      </c>
      <c r="N171" s="121">
        <f t="shared" si="78"/>
        <v>17.75</v>
      </c>
      <c r="O171" s="121">
        <f t="shared" si="78"/>
        <v>36.44</v>
      </c>
      <c r="P171" s="121">
        <f t="shared" si="78"/>
        <v>107.85</v>
      </c>
      <c r="Q171" s="121">
        <f t="shared" si="78"/>
        <v>0</v>
      </c>
      <c r="R171" s="121">
        <f t="shared" si="78"/>
        <v>6.1</v>
      </c>
      <c r="S171" s="121">
        <f t="shared" si="78"/>
        <v>151.16</v>
      </c>
      <c r="T171" s="121">
        <f t="shared" si="78"/>
        <v>293.55</v>
      </c>
      <c r="U171" s="121">
        <f t="shared" si="78"/>
        <v>471.43</v>
      </c>
      <c r="V171" s="121">
        <f t="shared" si="78"/>
        <v>1028.81</v>
      </c>
      <c r="W171" s="121">
        <f t="shared" si="78"/>
        <v>7.82</v>
      </c>
      <c r="X171" s="121">
        <f t="shared" si="78"/>
        <v>246.65</v>
      </c>
      <c r="Y171" s="121">
        <f t="shared" si="78"/>
        <v>481.1</v>
      </c>
      <c r="Z171" s="121">
        <f t="shared" si="78"/>
        <v>773.97</v>
      </c>
      <c r="AA171" s="121">
        <f t="shared" si="78"/>
        <v>1691.7</v>
      </c>
      <c r="AB171" s="121">
        <f t="shared" si="78"/>
        <v>84.59</v>
      </c>
      <c r="AC171" s="121">
        <f t="shared" si="78"/>
        <v>1402.57</v>
      </c>
      <c r="AD171" s="121">
        <f t="shared" si="78"/>
        <v>5030.8100000000004</v>
      </c>
      <c r="AE171" s="121">
        <f t="shared" si="78"/>
        <v>10515.74</v>
      </c>
      <c r="AF171" s="121">
        <f t="shared" si="78"/>
        <v>26661.439999999999</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1.69</v>
      </c>
      <c r="S172" s="121">
        <f t="shared" si="79"/>
        <v>1.69</v>
      </c>
      <c r="T172" s="121">
        <f t="shared" si="79"/>
        <v>1.69</v>
      </c>
      <c r="U172" s="121">
        <f t="shared" si="79"/>
        <v>1.69</v>
      </c>
      <c r="V172" s="121">
        <f t="shared" si="79"/>
        <v>1.69</v>
      </c>
      <c r="W172" s="121">
        <f t="shared" si="79"/>
        <v>2.5299999999999998</v>
      </c>
      <c r="X172" s="121">
        <f t="shared" si="79"/>
        <v>2.5299999999999998</v>
      </c>
      <c r="Y172" s="121">
        <f t="shared" si="79"/>
        <v>2.5299999999999998</v>
      </c>
      <c r="Z172" s="121">
        <f t="shared" si="79"/>
        <v>2.5299999999999998</v>
      </c>
      <c r="AA172" s="121">
        <f t="shared" si="79"/>
        <v>2.5299999999999998</v>
      </c>
      <c r="AB172" s="121">
        <f t="shared" si="79"/>
        <v>2.54</v>
      </c>
      <c r="AC172" s="121">
        <f t="shared" si="79"/>
        <v>2.54</v>
      </c>
      <c r="AD172" s="121">
        <f t="shared" si="79"/>
        <v>2.54</v>
      </c>
      <c r="AE172" s="121">
        <f t="shared" si="79"/>
        <v>2.54</v>
      </c>
      <c r="AF172" s="121">
        <f t="shared" si="79"/>
        <v>2.54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3.53</v>
      </c>
      <c r="S173" s="121">
        <f t="shared" si="80"/>
        <v>3.53</v>
      </c>
      <c r="T173" s="121">
        <f t="shared" si="80"/>
        <v>3.53</v>
      </c>
      <c r="U173" s="121">
        <f t="shared" si="80"/>
        <v>3.53</v>
      </c>
      <c r="V173" s="121">
        <f t="shared" si="80"/>
        <v>3.53</v>
      </c>
      <c r="W173" s="121">
        <f t="shared" si="80"/>
        <v>4.8099999999999996</v>
      </c>
      <c r="X173" s="121">
        <f t="shared" si="80"/>
        <v>4.8099999999999996</v>
      </c>
      <c r="Y173" s="121">
        <f t="shared" si="80"/>
        <v>4.8099999999999996</v>
      </c>
      <c r="Z173" s="121">
        <f t="shared" si="80"/>
        <v>4.8099999999999996</v>
      </c>
      <c r="AA173" s="121">
        <f t="shared" si="80"/>
        <v>4.8099999999999996</v>
      </c>
      <c r="AB173" s="121">
        <f t="shared" si="80"/>
        <v>5.62</v>
      </c>
      <c r="AC173" s="121">
        <f t="shared" si="80"/>
        <v>5.62</v>
      </c>
      <c r="AD173" s="121">
        <f t="shared" si="80"/>
        <v>5.62</v>
      </c>
      <c r="AE173" s="121">
        <f t="shared" si="80"/>
        <v>5.62</v>
      </c>
      <c r="AF173" s="121">
        <f t="shared" si="80"/>
        <v>5.62</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0.05</v>
      </c>
      <c r="S174" s="273">
        <f t="shared" si="81"/>
        <v>0.05</v>
      </c>
      <c r="T174" s="273">
        <f t="shared" si="81"/>
        <v>0.05</v>
      </c>
      <c r="U174" s="273">
        <f t="shared" si="81"/>
        <v>0.05</v>
      </c>
      <c r="V174" s="273">
        <f t="shared" si="81"/>
        <v>0.05</v>
      </c>
      <c r="W174" s="273">
        <f t="shared" si="81"/>
        <v>5.6000000000000001E-2</v>
      </c>
      <c r="X174" s="273">
        <f t="shared" si="81"/>
        <v>5.6000000000000001E-2</v>
      </c>
      <c r="Y174" s="273">
        <f t="shared" si="81"/>
        <v>5.6000000000000001E-2</v>
      </c>
      <c r="Z174" s="273">
        <f t="shared" si="81"/>
        <v>5.6000000000000001E-2</v>
      </c>
      <c r="AA174" s="273">
        <f t="shared" si="81"/>
        <v>5.6000000000000001E-2</v>
      </c>
      <c r="AB174" s="273">
        <f t="shared" si="81"/>
        <v>4.3999999999999997E-2</v>
      </c>
      <c r="AC174" s="273">
        <f t="shared" si="81"/>
        <v>4.3999999999999997E-2</v>
      </c>
      <c r="AD174" s="273">
        <f t="shared" si="81"/>
        <v>4.3999999999999997E-2</v>
      </c>
      <c r="AE174" s="273">
        <f t="shared" si="81"/>
        <v>4.3999999999999997E-2</v>
      </c>
      <c r="AF174" s="273">
        <f t="shared" si="81"/>
        <v>4.3999999999999997E-2</v>
      </c>
      <c r="AG174" s="273">
        <f t="shared" si="81"/>
        <v>0</v>
      </c>
      <c r="AH174" s="273">
        <f t="shared" si="81"/>
        <v>0</v>
      </c>
      <c r="AI174" s="273">
        <f t="shared" si="81"/>
        <v>0</v>
      </c>
      <c r="AJ174" s="273">
        <f t="shared" si="81"/>
        <v>0.128</v>
      </c>
      <c r="AK174" s="270">
        <f t="shared" si="81"/>
        <v>0</v>
      </c>
      <c r="AL174" s="273">
        <f t="shared" si="81"/>
        <v>0.10299999999999999</v>
      </c>
      <c r="AM174" s="270">
        <f t="shared" si="81"/>
        <v>0</v>
      </c>
      <c r="AN174" s="273">
        <f t="shared" si="81"/>
        <v>7.9000000000000001E-2</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394056.97768915538</v>
      </c>
      <c r="K22" s="193">
        <f>INDEX('Volume adjustments'!$J$527:$Y$567,K$17 + 1 + $H22*$H$28, K$15)</f>
        <v>165.19190239670218</v>
      </c>
      <c r="L22" s="193">
        <f>INDEX('Volume adjustments'!$J$527:$Y$567,L$17 + 1 + $H22*$H$28, L$15)</f>
        <v>0</v>
      </c>
      <c r="M22" s="193">
        <f>INDEX('Volume adjustments'!$J$527:$Y$567,M$17 + 1 + $H22*$H$28, M$15)</f>
        <v>5296.5540517673098</v>
      </c>
      <c r="N22" s="193">
        <f>INDEX('Volume adjustments'!$J$527:$Y$567,N$17 + 1 + $H22*$H$28, N$15)</f>
        <v>24067.395102857277</v>
      </c>
      <c r="O22" s="193">
        <f>INDEX('Volume adjustments'!$J$527:$Y$567,O$17 + 1 + $H22*$H$28, O$15)</f>
        <v>24160.880668327238</v>
      </c>
      <c r="P22" s="193">
        <f>INDEX('Volume adjustments'!$J$527:$Y$567,P$17 + 1 + $H22*$H$28, P$15)</f>
        <v>78435.616458448712</v>
      </c>
      <c r="Q22" s="193">
        <f>INDEX('Volume adjustments'!$J$527:$Y$567,Q$17 + 1 + $H22*$H$28, Q$15)</f>
        <v>156.53988635874572</v>
      </c>
      <c r="R22" s="193">
        <f>INDEX('Volume adjustments'!$J$527:$Y$567,R$17 + 1 + $H22*$H$28, R$15)</f>
        <v>0</v>
      </c>
      <c r="S22" s="193">
        <f>INDEX('Volume adjustments'!$J$527:$Y$567,S$17 + 1 + $H22*$H$28, S$15)</f>
        <v>24210.957358027488</v>
      </c>
      <c r="T22" s="193">
        <f>INDEX('Volume adjustments'!$J$527:$Y$567,T$17 + 1 + $H22*$H$28, T$15)</f>
        <v>28983.569543671445</v>
      </c>
      <c r="U22" s="193">
        <f>INDEX('Volume adjustments'!$J$527:$Y$567,U$17 + 1 + $H22*$H$28, U$15)</f>
        <v>14332.652753814244</v>
      </c>
      <c r="V22" s="193">
        <f>INDEX('Volume adjustments'!$J$527:$Y$567,V$17 + 1 + $H22*$H$28, V$15)</f>
        <v>16653.660199171805</v>
      </c>
      <c r="W22" s="193">
        <f>INDEX('Volume adjustments'!$J$527:$Y$567,W$17 + 1 + $H22*$H$28, W$15)</f>
        <v>0</v>
      </c>
      <c r="X22" s="193">
        <f>INDEX('Volume adjustments'!$J$527:$Y$567,X$17 + 1 + $H22*$H$28, X$15)</f>
        <v>2546.5296662420442</v>
      </c>
      <c r="Y22" s="193">
        <f>INDEX('Volume adjustments'!$J$527:$Y$567,Y$17 + 1 + $H22*$H$28, Y$15)</f>
        <v>7031.2666882669519</v>
      </c>
      <c r="Z22" s="193">
        <f>INDEX('Volume adjustments'!$J$527:$Y$567,Z$17 + 1 + $H22*$H$28, Z$15)</f>
        <v>7321.3696127787662</v>
      </c>
      <c r="AA22" s="193">
        <f>INDEX('Volume adjustments'!$J$527:$Y$567,AA$17 + 1 + $H22*$H$28, AA$15)</f>
        <v>28202.556450972552</v>
      </c>
      <c r="AB22" s="193">
        <f>INDEX('Volume adjustments'!$J$527:$Y$567,AB$17 + 1 + $H22*$H$28, AB$15)</f>
        <v>0</v>
      </c>
      <c r="AC22" s="193">
        <f>INDEX('Volume adjustments'!$J$527:$Y$567,AC$17 + 1 + $H22*$H$28, AC$15)</f>
        <v>11806.891010422014</v>
      </c>
      <c r="AD22" s="193">
        <f>INDEX('Volume adjustments'!$J$527:$Y$567,AD$17 + 1 + $H22*$H$28, AD$15)</f>
        <v>38382.451737605334</v>
      </c>
      <c r="AE22" s="193">
        <f>INDEX('Volume adjustments'!$J$527:$Y$567,AE$17 + 1 + $H22*$H$28, AE$15)</f>
        <v>25205.745356841559</v>
      </c>
      <c r="AF22" s="193">
        <f>INDEX('Volume adjustments'!$J$527:$Y$567,AF$17 + 1 + $H22*$H$28, AF$15)</f>
        <v>68919.12114264624</v>
      </c>
      <c r="AG22" s="193">
        <f>INDEX('Volume adjustments'!$J$527:$Y$567,AG$17 + 1 + $H22*$H$28, AG$15)</f>
        <v>3172.0310077756471</v>
      </c>
      <c r="AH22" s="193">
        <f>INDEX('Volume adjustments'!$J$527:$Y$567,AH$17 + 1 + $H22*$H$28, AH$15)</f>
        <v>208.43531675970064</v>
      </c>
      <c r="AI22" s="193">
        <f>INDEX('Volume adjustments'!$J$527:$Y$567,AI$17 + 1 + $H22*$H$28, AI$15)</f>
        <v>0</v>
      </c>
      <c r="AJ22" s="193">
        <f>INDEX('Volume adjustments'!$J$527:$Y$567,AJ$17 + 1 + $H22*$H$28, AJ$15)</f>
        <v>3867.6374675826655</v>
      </c>
      <c r="AK22" s="193">
        <f>INDEX('Volume adjustments'!$J$527:$Y$567,AK$17 + 1 + $H22*$H$28, AK$15)</f>
        <v>0</v>
      </c>
      <c r="AL22" s="193">
        <f>INDEX('Volume adjustments'!$J$527:$Y$567,AL$17 + 1 + $H22*$H$28, AL$15)</f>
        <v>1009.8765349498661</v>
      </c>
      <c r="AM22" s="193">
        <f>INDEX('Volume adjustments'!$J$527:$Y$567,AM$17 + 1 + $H22*$H$28, AM$15)</f>
        <v>0</v>
      </c>
      <c r="AN22" s="193">
        <f>INDEX('Volume adjustments'!$J$527:$Y$567,AN$17 + 1 + $H22*$H$28, AN$15)</f>
        <v>33792.907334020259</v>
      </c>
      <c r="AO22" s="193">
        <f>INDEX('Volume adjustments'!$J$527:$Y$567,AO$17 + 1 + $H22*$H$28, AO$15)</f>
        <v>0</v>
      </c>
    </row>
    <row r="23" spans="1:43" x14ac:dyDescent="0.3">
      <c r="A23" s="320"/>
      <c r="E23" s="28"/>
      <c r="F23" s="72" t="s">
        <v>248</v>
      </c>
      <c r="G23" s="72" t="s">
        <v>207</v>
      </c>
      <c r="H23" s="376">
        <v>1</v>
      </c>
      <c r="J23" s="339">
        <f>INDEX('Volume adjustments'!$J$527:$Y$567,J$17 + 1 + $H23*$H$28, J$15)</f>
        <v>2272941.7109962343</v>
      </c>
      <c r="K23" s="339">
        <f>INDEX('Volume adjustments'!$J$527:$Y$567,K$17 + 1 + $H23*$H$28, K$15)</f>
        <v>8808.4021048564955</v>
      </c>
      <c r="L23" s="339">
        <f>INDEX('Volume adjustments'!$J$527:$Y$567,L$17 + 1 + $H23*$H$28, L$15)</f>
        <v>0</v>
      </c>
      <c r="M23" s="339">
        <f>INDEX('Volume adjustments'!$J$527:$Y$567,M$17 + 1 + $H23*$H$28, M$15)</f>
        <v>43615.870615073836</v>
      </c>
      <c r="N23" s="339">
        <f>INDEX('Volume adjustments'!$J$527:$Y$567,N$17 + 1 + $H23*$H$28, N$15)</f>
        <v>198189.30961307243</v>
      </c>
      <c r="O23" s="339">
        <f>INDEX('Volume adjustments'!$J$527:$Y$567,O$17 + 1 + $H23*$H$28, O$15)</f>
        <v>198959.14114656809</v>
      </c>
      <c r="P23" s="339">
        <f>INDEX('Volume adjustments'!$J$527:$Y$567,P$17 + 1 + $H23*$H$28, P$15)</f>
        <v>645898.76089789951</v>
      </c>
      <c r="Q23" s="339">
        <f>INDEX('Volume adjustments'!$J$527:$Y$567,Q$17 + 1 + $H23*$H$28, Q$15)</f>
        <v>5298.9984308607791</v>
      </c>
      <c r="R23" s="339">
        <f>INDEX('Volume adjustments'!$J$527:$Y$567,R$17 + 1 + $H23*$H$28, R$15)</f>
        <v>0</v>
      </c>
      <c r="S23" s="339">
        <f>INDEX('Volume adjustments'!$J$527:$Y$567,S$17 + 1 + $H23*$H$28, S$15)</f>
        <v>173823.30581969829</v>
      </c>
      <c r="T23" s="339">
        <f>INDEX('Volume adjustments'!$J$527:$Y$567,T$17 + 1 + $H23*$H$28, T$15)</f>
        <v>208088.42038068635</v>
      </c>
      <c r="U23" s="339">
        <f>INDEX('Volume adjustments'!$J$527:$Y$567,U$17 + 1 + $H23*$H$28, U$15)</f>
        <v>102901.71701978368</v>
      </c>
      <c r="V23" s="339">
        <f>INDEX('Volume adjustments'!$J$527:$Y$567,V$17 + 1 + $H23*$H$28, V$15)</f>
        <v>119565.4606718048</v>
      </c>
      <c r="W23" s="339">
        <f>INDEX('Volume adjustments'!$J$527:$Y$567,W$17 + 1 + $H23*$H$28, W$15)</f>
        <v>0</v>
      </c>
      <c r="X23" s="339">
        <f>INDEX('Volume adjustments'!$J$527:$Y$567,X$17 + 1 + $H23*$H$28, X$15)</f>
        <v>18787.474717934932</v>
      </c>
      <c r="Y23" s="339">
        <f>INDEX('Volume adjustments'!$J$527:$Y$567,Y$17 + 1 + $H23*$H$28, Y$15)</f>
        <v>51874.418308197128</v>
      </c>
      <c r="Z23" s="339">
        <f>INDEX('Volume adjustments'!$J$527:$Y$567,Z$17 + 1 + $H23*$H$28, Z$15)</f>
        <v>54014.704138013432</v>
      </c>
      <c r="AA23" s="339">
        <f>INDEX('Volume adjustments'!$J$527:$Y$567,AA$17 + 1 + $H23*$H$28, AA$15)</f>
        <v>208069.36723643003</v>
      </c>
      <c r="AB23" s="339">
        <f>INDEX('Volume adjustments'!$J$527:$Y$567,AB$17 + 1 + $H23*$H$28, AB$15)</f>
        <v>0</v>
      </c>
      <c r="AC23" s="339">
        <f>INDEX('Volume adjustments'!$J$527:$Y$567,AC$17 + 1 + $H23*$H$28, AC$15)</f>
        <v>84785.751995411454</v>
      </c>
      <c r="AD23" s="339">
        <f>INDEX('Volume adjustments'!$J$527:$Y$567,AD$17 + 1 + $H23*$H$28, AD$15)</f>
        <v>275625.90618714766</v>
      </c>
      <c r="AE23" s="339">
        <f>INDEX('Volume adjustments'!$J$527:$Y$567,AE$17 + 1 + $H23*$H$28, AE$15)</f>
        <v>181003.4557614059</v>
      </c>
      <c r="AF23" s="339">
        <f>INDEX('Volume adjustments'!$J$527:$Y$567,AF$17 + 1 + $H23*$H$28, AF$15)</f>
        <v>494910.93868692045</v>
      </c>
      <c r="AG23" s="339">
        <f>INDEX('Volume adjustments'!$J$527:$Y$567,AG$17 + 1 + $H23*$H$28, AG$15)</f>
        <v>36505.652837292037</v>
      </c>
      <c r="AH23" s="339">
        <f>INDEX('Volume adjustments'!$J$527:$Y$567,AH$17 + 1 + $H23*$H$28, AH$15)</f>
        <v>2120.0971136074354</v>
      </c>
      <c r="AI23" s="339">
        <f>INDEX('Volume adjustments'!$J$527:$Y$567,AI$17 + 1 + $H23*$H$28, AI$15)</f>
        <v>0</v>
      </c>
      <c r="AJ23" s="339">
        <f>INDEX('Volume adjustments'!$J$527:$Y$567,AJ$17 + 1 + $H23*$H$28, AJ$15)</f>
        <v>33839.103386170413</v>
      </c>
      <c r="AK23" s="339">
        <f>INDEX('Volume adjustments'!$J$527:$Y$567,AK$17 + 1 + $H23*$H$28, AK$15)</f>
        <v>0</v>
      </c>
      <c r="AL23" s="339">
        <f>INDEX('Volume adjustments'!$J$527:$Y$567,AL$17 + 1 + $H23*$H$28, AL$15)</f>
        <v>8451.4185101941748</v>
      </c>
      <c r="AM23" s="339">
        <f>INDEX('Volume adjustments'!$J$527:$Y$567,AM$17 + 1 + $H23*$H$28, AM$15)</f>
        <v>0</v>
      </c>
      <c r="AN23" s="339">
        <f>INDEX('Volume adjustments'!$J$527:$Y$567,AN$17 + 1 + $H23*$H$28, AN$15)</f>
        <v>286628.40604383906</v>
      </c>
      <c r="AO23" s="339">
        <f>INDEX('Volume adjustments'!$J$527:$Y$567,AO$17 + 1 + $H23*$H$28, AO$15)</f>
        <v>0</v>
      </c>
    </row>
    <row r="24" spans="1:43" x14ac:dyDescent="0.3">
      <c r="A24" s="320"/>
      <c r="E24" s="28"/>
      <c r="F24" s="72" t="s">
        <v>249</v>
      </c>
      <c r="G24" s="72" t="s">
        <v>207</v>
      </c>
      <c r="H24" s="376">
        <v>2</v>
      </c>
      <c r="J24" s="339">
        <f>INDEX('Volume adjustments'!$J$527:$Y$567,J$17 + 1 + $H24*$H$28, J$15)</f>
        <v>2575955.0606651236</v>
      </c>
      <c r="K24" s="339">
        <f>INDEX('Volume adjustments'!$J$527:$Y$567,K$17 + 1 + $H24*$H$28, K$15)</f>
        <v>28839.73547014036</v>
      </c>
      <c r="L24" s="339">
        <f>INDEX('Volume adjustments'!$J$527:$Y$567,L$17 + 1 + $H24*$H$28, L$15)</f>
        <v>0</v>
      </c>
      <c r="M24" s="339">
        <f>INDEX('Volume adjustments'!$J$527:$Y$567,M$17 + 1 + $H24*$H$28, M$15)</f>
        <v>34884.599727618042</v>
      </c>
      <c r="N24" s="339">
        <f>INDEX('Volume adjustments'!$J$527:$Y$567,N$17 + 1 + $H24*$H$28, N$15)</f>
        <v>158514.65621680312</v>
      </c>
      <c r="O24" s="339">
        <f>INDEX('Volume adjustments'!$J$527:$Y$567,O$17 + 1 + $H24*$H$28, O$15)</f>
        <v>159130.37853358782</v>
      </c>
      <c r="P24" s="339">
        <f>INDEX('Volume adjustments'!$J$527:$Y$567,P$17 + 1 + $H24*$H$28, P$15)</f>
        <v>516599.10534264491</v>
      </c>
      <c r="Q24" s="339">
        <f>INDEX('Volume adjustments'!$J$527:$Y$567,Q$17 + 1 + $H24*$H$28, Q$15)</f>
        <v>11694.133459357819</v>
      </c>
      <c r="R24" s="339">
        <f>INDEX('Volume adjustments'!$J$527:$Y$567,R$17 + 1 + $H24*$H$28, R$15)</f>
        <v>0</v>
      </c>
      <c r="S24" s="339">
        <f>INDEX('Volume adjustments'!$J$527:$Y$567,S$17 + 1 + $H24*$H$28, S$15)</f>
        <v>148750.82920682596</v>
      </c>
      <c r="T24" s="339">
        <f>INDEX('Volume adjustments'!$J$527:$Y$567,T$17 + 1 + $H24*$H$28, T$15)</f>
        <v>178073.50363059275</v>
      </c>
      <c r="U24" s="339">
        <f>INDEX('Volume adjustments'!$J$527:$Y$567,U$17 + 1 + $H24*$H$28, U$15)</f>
        <v>88059.05319380002</v>
      </c>
      <c r="V24" s="339">
        <f>INDEX('Volume adjustments'!$J$527:$Y$567,V$17 + 1 + $H24*$H$28, V$15)</f>
        <v>102319.19900243658</v>
      </c>
      <c r="W24" s="339">
        <f>INDEX('Volume adjustments'!$J$527:$Y$567,W$17 + 1 + $H24*$H$28, W$15)</f>
        <v>0</v>
      </c>
      <c r="X24" s="339">
        <f>INDEX('Volume adjustments'!$J$527:$Y$567,X$17 + 1 + $H24*$H$28, X$15)</f>
        <v>18221.579236547816</v>
      </c>
      <c r="Y24" s="339">
        <f>INDEX('Volume adjustments'!$J$527:$Y$567,Y$17 + 1 + $H24*$H$28, Y$15)</f>
        <v>50311.91459969338</v>
      </c>
      <c r="Z24" s="339">
        <f>INDEX('Volume adjustments'!$J$527:$Y$567,Z$17 + 1 + $H24*$H$28, Z$15)</f>
        <v>52387.733112951501</v>
      </c>
      <c r="AA24" s="339">
        <f>INDEX('Volume adjustments'!$J$527:$Y$567,AA$17 + 1 + $H24*$H$28, AA$15)</f>
        <v>201802.1324695473</v>
      </c>
      <c r="AB24" s="339">
        <f>INDEX('Volume adjustments'!$J$527:$Y$567,AB$17 + 1 + $H24*$H$28, AB$15)</f>
        <v>0</v>
      </c>
      <c r="AC24" s="339">
        <f>INDEX('Volume adjustments'!$J$527:$Y$567,AC$17 + 1 + $H24*$H$28, AC$15)</f>
        <v>93725.831776888721</v>
      </c>
      <c r="AD24" s="339">
        <f>INDEX('Volume adjustments'!$J$527:$Y$567,AD$17 + 1 + $H24*$H$28, AD$15)</f>
        <v>304688.77976157115</v>
      </c>
      <c r="AE24" s="339">
        <f>INDEX('Volume adjustments'!$J$527:$Y$567,AE$17 + 1 + $H24*$H$28, AE$15)</f>
        <v>200089.03673635126</v>
      </c>
      <c r="AF24" s="339">
        <f>INDEX('Volume adjustments'!$J$527:$Y$567,AF$17 + 1 + $H24*$H$28, AF$15)</f>
        <v>547095.92463628517</v>
      </c>
      <c r="AG24" s="339">
        <f>INDEX('Volume adjustments'!$J$527:$Y$567,AG$17 + 1 + $H24*$H$28, AG$15)</f>
        <v>77551.244091183558</v>
      </c>
      <c r="AH24" s="339">
        <f>INDEX('Volume adjustments'!$J$527:$Y$567,AH$17 + 1 + $H24*$H$28, AH$15)</f>
        <v>904.45814433756675</v>
      </c>
      <c r="AI24" s="339">
        <f>INDEX('Volume adjustments'!$J$527:$Y$567,AI$17 + 1 + $H24*$H$28, AI$15)</f>
        <v>0</v>
      </c>
      <c r="AJ24" s="339">
        <f>INDEX('Volume adjustments'!$J$527:$Y$567,AJ$17 + 1 + $H24*$H$28, AJ$15)</f>
        <v>28793.328681545252</v>
      </c>
      <c r="AK24" s="339">
        <f>INDEX('Volume adjustments'!$J$527:$Y$567,AK$17 + 1 + $H24*$H$28, AK$15)</f>
        <v>0</v>
      </c>
      <c r="AL24" s="339">
        <f>INDEX('Volume adjustments'!$J$527:$Y$567,AL$17 + 1 + $H24*$H$28, AL$15)</f>
        <v>8337.0882839597562</v>
      </c>
      <c r="AM24" s="339">
        <f>INDEX('Volume adjustments'!$J$527:$Y$567,AM$17 + 1 + $H24*$H$28, AM$15)</f>
        <v>0</v>
      </c>
      <c r="AN24" s="339">
        <f>INDEX('Volume adjustments'!$J$527:$Y$567,AN$17 + 1 + $H24*$H$28, AN$15)</f>
        <v>235378.52205465923</v>
      </c>
      <c r="AO24" s="339">
        <f>INDEX('Volume adjustments'!$J$527:$Y$567,AO$17 + 1 + $H24*$H$28, AO$15)</f>
        <v>0</v>
      </c>
    </row>
    <row r="25" spans="1:43" x14ac:dyDescent="0.3">
      <c r="A25" s="320"/>
      <c r="E25" s="28"/>
      <c r="F25" s="72" t="s">
        <v>212</v>
      </c>
      <c r="G25" s="72" t="s">
        <v>212</v>
      </c>
      <c r="H25" s="376">
        <v>3</v>
      </c>
      <c r="J25" s="339">
        <f>INDEX('Volume adjustments'!$J$527:$Y$567,J$17 + 1 + $H25*$H$28, J$15)</f>
        <v>1491636.9166571859</v>
      </c>
      <c r="K25" s="339">
        <f>INDEX('Volume adjustments'!$J$527:$Y$567,K$17 + 1 + $H25*$H$28, K$15)</f>
        <v>0</v>
      </c>
      <c r="L25" s="339">
        <f>INDEX('Volume adjustments'!$J$527:$Y$567,L$17 + 1 + $H25*$H$28, L$15)</f>
        <v>0</v>
      </c>
      <c r="M25" s="339">
        <f>INDEX('Volume adjustments'!$J$527:$Y$567,M$17 + 1 + $H25*$H$28, M$15)</f>
        <v>62925.878210158902</v>
      </c>
      <c r="N25" s="339">
        <f>INDEX('Volume adjustments'!$J$527:$Y$567,N$17 + 1 + $H25*$H$28, N$15)</f>
        <v>47968.49437961082</v>
      </c>
      <c r="O25" s="339">
        <f>INDEX('Volume adjustments'!$J$527:$Y$567,O$17 + 1 + $H25*$H$28, O$15)</f>
        <v>20069.348725410768</v>
      </c>
      <c r="P25" s="339">
        <f>INDEX('Volume adjustments'!$J$527:$Y$567,P$17 + 1 + $H25*$H$28, P$15)</f>
        <v>20183.108818155033</v>
      </c>
      <c r="Q25" s="339">
        <f>INDEX('Volume adjustments'!$J$527:$Y$567,Q$17 + 1 + $H25*$H$28, Q$15)</f>
        <v>0</v>
      </c>
      <c r="R25" s="339">
        <f>INDEX('Volume adjustments'!$J$527:$Y$567,R$17 + 1 + $H25*$H$28, R$15)</f>
        <v>0</v>
      </c>
      <c r="S25" s="339">
        <f>INDEX('Volume adjustments'!$J$527:$Y$567,S$17 + 1 + $H25*$H$28, S$15)</f>
        <v>4166.3518523132634</v>
      </c>
      <c r="T25" s="339">
        <f>INDEX('Volume adjustments'!$J$527:$Y$567,T$17 + 1 + $H25*$H$28, T$15)</f>
        <v>2619.817783314505</v>
      </c>
      <c r="U25" s="339">
        <f>INDEX('Volume adjustments'!$J$527:$Y$567,U$17 + 1 + $H25*$H$28, U$15)</f>
        <v>853.59936953217709</v>
      </c>
      <c r="V25" s="339">
        <f>INDEX('Volume adjustments'!$J$527:$Y$567,V$17 + 1 + $H25*$H$28, V$15)</f>
        <v>537.73481409709484</v>
      </c>
      <c r="W25" s="339">
        <f>INDEX('Volume adjustments'!$J$527:$Y$567,W$17 + 1 + $H25*$H$28, W$15)</f>
        <v>0</v>
      </c>
      <c r="X25" s="339">
        <f>INDEX('Volume adjustments'!$J$527:$Y$567,X$17 + 1 + $H25*$H$28, X$15)</f>
        <v>325.76835966317407</v>
      </c>
      <c r="Y25" s="339">
        <f>INDEX('Volume adjustments'!$J$527:$Y$567,Y$17 + 1 + $H25*$H$28, Y$15)</f>
        <v>453.57718513574679</v>
      </c>
      <c r="Z25" s="339">
        <f>INDEX('Volume adjustments'!$J$527:$Y$567,Z$17 + 1 + $H25*$H$28, Z$15)</f>
        <v>299.8222071236292</v>
      </c>
      <c r="AA25" s="339">
        <f>INDEX('Volume adjustments'!$J$527:$Y$567,AA$17 + 1 + $H25*$H$28, AA$15)</f>
        <v>572.73729309513794</v>
      </c>
      <c r="AB25" s="339">
        <f>INDEX('Volume adjustments'!$J$527:$Y$567,AB$17 + 1 + $H25*$H$28, AB$15)</f>
        <v>0</v>
      </c>
      <c r="AC25" s="339">
        <f>INDEX('Volume adjustments'!$J$527:$Y$567,AC$17 + 1 + $H25*$H$28, AC$15)</f>
        <v>471.56647753161769</v>
      </c>
      <c r="AD25" s="339">
        <f>INDEX('Volume adjustments'!$J$527:$Y$567,AD$17 + 1 + $H25*$H$28, AD$15)</f>
        <v>408.48411979164251</v>
      </c>
      <c r="AE25" s="339">
        <f>INDEX('Volume adjustments'!$J$527:$Y$567,AE$17 + 1 + $H25*$H$28, AE$15)</f>
        <v>127.19885249208109</v>
      </c>
      <c r="AF25" s="339">
        <f>INDEX('Volume adjustments'!$J$527:$Y$567,AF$17 + 1 + $H25*$H$28, AF$15)</f>
        <v>136.50608560125775</v>
      </c>
      <c r="AG25" s="339">
        <f>INDEX('Volume adjustments'!$J$527:$Y$567,AG$17 + 1 + $H25*$H$28, AG$15)</f>
        <v>24.569263564139717</v>
      </c>
      <c r="AH25" s="339">
        <f>INDEX('Volume adjustments'!$J$527:$Y$567,AH$17 + 1 + $H25*$H$28, AH$15)</f>
        <v>0</v>
      </c>
      <c r="AI25" s="339">
        <f>INDEX('Volume adjustments'!$J$527:$Y$567,AI$17 + 1 + $H25*$H$28, AI$15)</f>
        <v>0</v>
      </c>
      <c r="AJ25" s="339">
        <f>INDEX('Volume adjustments'!$J$527:$Y$567,AJ$17 + 1 + $H25*$H$28, AJ$15)</f>
        <v>861.47352056885472</v>
      </c>
      <c r="AK25" s="339">
        <f>INDEX('Volume adjustments'!$J$527:$Y$567,AK$17 + 1 + $H25*$H$28, AK$15)</f>
        <v>0</v>
      </c>
      <c r="AL25" s="339">
        <f>INDEX('Volume adjustments'!$J$527:$Y$567,AL$17 + 1 + $H25*$H$28, AL$15)</f>
        <v>112.05985177756838</v>
      </c>
      <c r="AM25" s="339">
        <f>INDEX('Volume adjustments'!$J$527:$Y$567,AM$17 + 1 + $H25*$H$28, AM$15)</f>
        <v>0</v>
      </c>
      <c r="AN25" s="339">
        <f>INDEX('Volume adjustments'!$J$527:$Y$567,AN$17 + 1 + $H25*$H$28, AN$15)</f>
        <v>284.55473026719613</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160052.28402504176</v>
      </c>
      <c r="T26" s="339">
        <f>INDEX('Volume adjustments'!$J$527:$Y$567,T$17 + 1 + $H26*$H$28, T$15)</f>
        <v>277023.41467353178</v>
      </c>
      <c r="U26" s="339">
        <f>INDEX('Volume adjustments'!$J$527:$Y$567,U$17 + 1 + $H26*$H$28, U$15)</f>
        <v>147462.1666720006</v>
      </c>
      <c r="V26" s="339">
        <f>INDEX('Volume adjustments'!$J$527:$Y$567,V$17 + 1 + $H26*$H$28, V$15)</f>
        <v>171568.13462942591</v>
      </c>
      <c r="W26" s="339">
        <f>INDEX('Volume adjustments'!$J$527:$Y$567,W$17 + 1 + $H26*$H$28, W$15)</f>
        <v>0</v>
      </c>
      <c r="X26" s="339">
        <f>INDEX('Volume adjustments'!$J$527:$Y$567,X$17 + 1 + $H26*$H$28, X$15)</f>
        <v>17249.612816460703</v>
      </c>
      <c r="Y26" s="339">
        <f>INDEX('Volume adjustments'!$J$527:$Y$567,Y$17 + 1 + $H26*$H$28, Y$15)</f>
        <v>59741.776172999693</v>
      </c>
      <c r="Z26" s="339">
        <f>INDEX('Volume adjustments'!$J$527:$Y$567,Z$17 + 1 + $H26*$H$28, Z$15)</f>
        <v>62924.607165159709</v>
      </c>
      <c r="AA26" s="339">
        <f>INDEX('Volume adjustments'!$J$527:$Y$567,AA$17 + 1 + $H26*$H$28, AA$15)</f>
        <v>248367.22167633311</v>
      </c>
      <c r="AB26" s="339">
        <f>INDEX('Volume adjustments'!$J$527:$Y$567,AB$17 + 1 + $H26*$H$28, AB$15)</f>
        <v>0</v>
      </c>
      <c r="AC26" s="339">
        <f>INDEX('Volume adjustments'!$J$527:$Y$567,AC$17 + 1 + $H26*$H$28, AC$15)</f>
        <v>83978.983450174608</v>
      </c>
      <c r="AD26" s="339">
        <f>INDEX('Volume adjustments'!$J$527:$Y$567,AD$17 + 1 + $H26*$H$28, AD$15)</f>
        <v>265139.66038376192</v>
      </c>
      <c r="AE26" s="339">
        <f>INDEX('Volume adjustments'!$J$527:$Y$567,AE$17 + 1 + $H26*$H$28, AE$15)</f>
        <v>167696.45030368963</v>
      </c>
      <c r="AF26" s="339">
        <f>INDEX('Volume adjustments'!$J$527:$Y$567,AF$17 + 1 + $H26*$H$28, AF$15)</f>
        <v>426114.12005975784</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3846.2261182455973</v>
      </c>
      <c r="T27" s="339">
        <f>INDEX('Volume adjustments'!$J$527:$Y$567,T$17 + 1 + $H27*$H$28, T$15)</f>
        <v>6657.1664339148783</v>
      </c>
      <c r="U27" s="339">
        <f>INDEX('Volume adjustments'!$J$527:$Y$567,U$17 + 1 + $H27*$H$28, U$15)</f>
        <v>3543.6722466153269</v>
      </c>
      <c r="V27" s="339">
        <f>INDEX('Volume adjustments'!$J$527:$Y$567,V$17 + 1 + $H27*$H$28, V$15)</f>
        <v>4122.9642206613462</v>
      </c>
      <c r="W27" s="339">
        <f>INDEX('Volume adjustments'!$J$527:$Y$567,W$17 + 1 + $H27*$H$28, W$15)</f>
        <v>0</v>
      </c>
      <c r="X27" s="339">
        <f>INDEX('Volume adjustments'!$J$527:$Y$567,X$17 + 1 + $H27*$H$28, X$15)</f>
        <v>246.01251666723277</v>
      </c>
      <c r="Y27" s="339">
        <f>INDEX('Volume adjustments'!$J$527:$Y$567,Y$17 + 1 + $H27*$H$28, Y$15)</f>
        <v>852.03215068486224</v>
      </c>
      <c r="Z27" s="339">
        <f>INDEX('Volume adjustments'!$J$527:$Y$567,Z$17 + 1 + $H27*$H$28, Z$15)</f>
        <v>897.42541665779731</v>
      </c>
      <c r="AA27" s="339">
        <f>INDEX('Volume adjustments'!$J$527:$Y$567,AA$17 + 1 + $H27*$H$28, AA$15)</f>
        <v>3542.1922748281177</v>
      </c>
      <c r="AB27" s="339">
        <f>INDEX('Volume adjustments'!$J$527:$Y$567,AB$17 + 1 + $H27*$H$28, AB$15)</f>
        <v>0</v>
      </c>
      <c r="AC27" s="339">
        <f>INDEX('Volume adjustments'!$J$527:$Y$567,AC$17 + 1 + $H27*$H$28, AC$15)</f>
        <v>305.13158521214103</v>
      </c>
      <c r="AD27" s="339">
        <f>INDEX('Volume adjustments'!$J$527:$Y$567,AD$17 + 1 + $H27*$H$28, AD$15)</f>
        <v>963.36585121331063</v>
      </c>
      <c r="AE27" s="339">
        <f>INDEX('Volume adjustments'!$J$527:$Y$567,AE$17 + 1 + $H27*$H$28, AE$15)</f>
        <v>609.31296871404868</v>
      </c>
      <c r="AF27" s="339">
        <f>INDEX('Volume adjustments'!$J$527:$Y$567,AF$17 + 1 + $H27*$H$28, AF$15)</f>
        <v>1548.2549513385443</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36617.777030644895</v>
      </c>
      <c r="T28" s="195">
        <f>INDEX('Volume adjustments'!$J$527:$Y$567,T$17 + 1 + $H28*$H$28, T$15)</f>
        <v>43836.097491223634</v>
      </c>
      <c r="U28" s="195">
        <f>INDEX('Volume adjustments'!$J$527:$Y$567,U$17 + 1 + $H28*$H$28, U$15)</f>
        <v>21677.370086433762</v>
      </c>
      <c r="V28" s="195">
        <f>INDEX('Volume adjustments'!$J$527:$Y$567,V$17 + 1 + $H28*$H$28, V$15)</f>
        <v>25187.769607764145</v>
      </c>
      <c r="W28" s="195">
        <f>INDEX('Volume adjustments'!$J$527:$Y$567,W$17 + 1 + $H28*$H$28, W$15)</f>
        <v>0</v>
      </c>
      <c r="X28" s="195">
        <f>INDEX('Volume adjustments'!$J$527:$Y$567,X$17 + 1 + $H28*$H$28, X$15)</f>
        <v>3600.1474561872697</v>
      </c>
      <c r="Y28" s="195">
        <f>INDEX('Volume adjustments'!$J$527:$Y$567,Y$17 + 1 + $H28*$H$28, Y$15)</f>
        <v>9940.4288185239348</v>
      </c>
      <c r="Z28" s="195">
        <f>INDEX('Volume adjustments'!$J$527:$Y$567,Z$17 + 1 + $H28*$H$28, Z$15)</f>
        <v>10350.560818774673</v>
      </c>
      <c r="AA28" s="195">
        <f>INDEX('Volume adjustments'!$J$527:$Y$567,AA$17 + 1 + $H28*$H$28, AA$15)</f>
        <v>39871.266064919306</v>
      </c>
      <c r="AB28" s="195">
        <f>INDEX('Volume adjustments'!$J$527:$Y$567,AB$17 + 1 + $H28*$H$28, AB$15)</f>
        <v>0</v>
      </c>
      <c r="AC28" s="195">
        <f>INDEX('Volume adjustments'!$J$527:$Y$567,AC$17 + 1 + $H28*$H$28, AC$15)</f>
        <v>10438.16109897426</v>
      </c>
      <c r="AD28" s="195">
        <f>INDEX('Volume adjustments'!$J$527:$Y$567,AD$17 + 1 + $H28*$H$28, AD$15)</f>
        <v>33932.913775275789</v>
      </c>
      <c r="AE28" s="195">
        <f>INDEX('Volume adjustments'!$J$527:$Y$567,AE$17 + 1 + $H28*$H$28, AE$15)</f>
        <v>22283.735017304152</v>
      </c>
      <c r="AF28" s="195">
        <f>INDEX('Volume adjustments'!$J$527:$Y$567,AF$17 + 1 + $H28*$H$28, AF$15)</f>
        <v>60929.578214252637</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5860.34329429218</v>
      </c>
      <c r="AK28" s="195">
        <f>INDEX('Volume adjustments'!$J$527:$Y$567,AK$17 + 1 + $H28*$H$28, AK$15)</f>
        <v>0</v>
      </c>
      <c r="AL28" s="195">
        <f>INDEX('Volume adjustments'!$J$527:$Y$567,AL$17 + 1 + $H28*$H$28, AL$15)</f>
        <v>1979.3774685899657</v>
      </c>
      <c r="AM28" s="195">
        <f>INDEX('Volume adjustments'!$J$527:$Y$567,AM$17 + 1 + $H28*$H$28, AM$15)</f>
        <v>0</v>
      </c>
      <c r="AN28" s="195">
        <f>INDEX('Volume adjustments'!$J$527:$Y$567,AN$17 + 1 + $H28*$H$28, AN$15)</f>
        <v>9248.3392978234697</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2662.4957515671886</v>
      </c>
      <c r="K33" s="193">
        <f>INDEX('Volume adjustments'!$J$571:$Y$611,K$17 + 1 + $H33*$H$39, K$15)</f>
        <v>0</v>
      </c>
      <c r="L33" s="193">
        <f>INDEX('Volume adjustments'!$J$571:$Y$611,L$17 + 1 + $H33*$H$39, L$15)</f>
        <v>0</v>
      </c>
      <c r="M33" s="193">
        <f>INDEX('Volume adjustments'!$J$571:$Y$611,M$17 + 1 + $H33*$H$39, M$15)</f>
        <v>4.0270931817701605</v>
      </c>
      <c r="N33" s="193">
        <f>INDEX('Volume adjustments'!$J$571:$Y$611,N$17 + 1 + $H33*$H$39, N$15)</f>
        <v>18.299000024241248</v>
      </c>
      <c r="O33" s="193">
        <f>INDEX('Volume adjustments'!$J$571:$Y$611,O$17 + 1 + $H33*$H$39, O$15)</f>
        <v>18.370079273054426</v>
      </c>
      <c r="P33" s="193">
        <f>INDEX('Volume adjustments'!$J$571:$Y$611,P$17 + 1 + $H33*$H$39, P$15)</f>
        <v>59.636422693045517</v>
      </c>
      <c r="Q33" s="193">
        <f>INDEX('Volume adjustments'!$J$571:$Y$611,Q$17 + 1 + $H33*$H$39, Q$15)</f>
        <v>0</v>
      </c>
      <c r="R33" s="193">
        <f>INDEX('Volume adjustments'!$J$571:$Y$611,R$17 + 1 + $H33*$H$39, R$15)</f>
        <v>0</v>
      </c>
      <c r="S33" s="193">
        <f>INDEX('Volume adjustments'!$J$571:$Y$611,S$17 + 1 + $H33*$H$39, S$15)</f>
        <v>52.917081243415204</v>
      </c>
      <c r="T33" s="193">
        <f>INDEX('Volume adjustments'!$J$571:$Y$611,T$17 + 1 + $H33*$H$39, T$15)</f>
        <v>63.348420369593839</v>
      </c>
      <c r="U33" s="193">
        <f>INDEX('Volume adjustments'!$J$571:$Y$611,U$17 + 1 + $H33*$H$39, U$15)</f>
        <v>31.326400645440589</v>
      </c>
      <c r="V33" s="193">
        <f>INDEX('Volume adjustments'!$J$571:$Y$611,V$17 + 1 + $H33*$H$39, V$15)</f>
        <v>36.399349134684648</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1.377515987053852</v>
      </c>
      <c r="AH33" s="193">
        <f>INDEX('Volume adjustments'!$J$571:$Y$611,AH$17 + 1 + $H33*$H$39, AH$15)</f>
        <v>5.1069600457863729</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14385.094329467913</v>
      </c>
      <c r="K34" s="339">
        <f>INDEX('Volume adjustments'!$J$571:$Y$611,K$17 + 1 + $H34*$H$39, K$15)</f>
        <v>0</v>
      </c>
      <c r="L34" s="339">
        <f>INDEX('Volume adjustments'!$J$571:$Y$611,L$17 + 1 + $H34*$H$39, L$15)</f>
        <v>0</v>
      </c>
      <c r="M34" s="339">
        <f>INDEX('Volume adjustments'!$J$571:$Y$611,M$17 + 1 + $H34*$H$39, M$15)</f>
        <v>34.81985147428901</v>
      </c>
      <c r="N34" s="339">
        <f>INDEX('Volume adjustments'!$J$571:$Y$611,N$17 + 1 + $H34*$H$39, N$15)</f>
        <v>158.22044194468219</v>
      </c>
      <c r="O34" s="339">
        <f>INDEX('Volume adjustments'!$J$571:$Y$611,O$17 + 1 + $H34*$H$39, O$15)</f>
        <v>158.83502143784676</v>
      </c>
      <c r="P34" s="339">
        <f>INDEX('Volume adjustments'!$J$571:$Y$611,P$17 + 1 + $H34*$H$39, P$15)</f>
        <v>515.64026132541517</v>
      </c>
      <c r="Q34" s="339">
        <f>INDEX('Volume adjustments'!$J$571:$Y$611,Q$17 + 1 + $H34*$H$39, Q$15)</f>
        <v>0</v>
      </c>
      <c r="R34" s="339">
        <f>INDEX('Volume adjustments'!$J$571:$Y$611,R$17 + 1 + $H34*$H$39, R$15)</f>
        <v>0</v>
      </c>
      <c r="S34" s="339">
        <f>INDEX('Volume adjustments'!$J$571:$Y$611,S$17 + 1 + $H34*$H$39, S$15)</f>
        <v>373.27659921704941</v>
      </c>
      <c r="T34" s="339">
        <f>INDEX('Volume adjustments'!$J$571:$Y$611,T$17 + 1 + $H34*$H$39, T$15)</f>
        <v>446.85916845189809</v>
      </c>
      <c r="U34" s="339">
        <f>INDEX('Volume adjustments'!$J$571:$Y$611,U$17 + 1 + $H34*$H$39, U$15)</f>
        <v>220.97613896828312</v>
      </c>
      <c r="V34" s="339">
        <f>INDEX('Volume adjustments'!$J$571:$Y$611,V$17 + 1 + $H34*$H$39, V$15)</f>
        <v>256.76067045742155</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73.782528103874384</v>
      </c>
      <c r="AH34" s="339">
        <f>INDEX('Volume adjustments'!$J$571:$Y$611,AH$17 + 1 + $H34*$H$39, AH$15)</f>
        <v>44.031921592651642</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14990.768520839179</v>
      </c>
      <c r="K35" s="339">
        <f>INDEX('Volume adjustments'!$J$571:$Y$611,K$17 + 1 + $H35*$H$39, K$15)</f>
        <v>0</v>
      </c>
      <c r="L35" s="339">
        <f>INDEX('Volume adjustments'!$J$571:$Y$611,L$17 + 1 + $H35*$H$39, L$15)</f>
        <v>0</v>
      </c>
      <c r="M35" s="339">
        <f>INDEX('Volume adjustments'!$J$571:$Y$611,M$17 + 1 + $H35*$H$39, M$15)</f>
        <v>23.989961355758282</v>
      </c>
      <c r="N35" s="339">
        <f>INDEX('Volume adjustments'!$J$571:$Y$611,N$17 + 1 + $H35*$H$39, N$15)</f>
        <v>109.00972081247018</v>
      </c>
      <c r="O35" s="339">
        <f>INDEX('Volume adjustments'!$J$571:$Y$611,O$17 + 1 + $H35*$H$39, O$15)</f>
        <v>109.43314991014873</v>
      </c>
      <c r="P35" s="339">
        <f>INDEX('Volume adjustments'!$J$571:$Y$611,P$17 + 1 + $H35*$H$39, P$15)</f>
        <v>355.26257060010624</v>
      </c>
      <c r="Q35" s="339">
        <f>INDEX('Volume adjustments'!$J$571:$Y$611,Q$17 + 1 + $H35*$H$39, Q$15)</f>
        <v>0</v>
      </c>
      <c r="R35" s="339">
        <f>INDEX('Volume adjustments'!$J$571:$Y$611,R$17 + 1 + $H35*$H$39, R$15)</f>
        <v>0</v>
      </c>
      <c r="S35" s="339">
        <f>INDEX('Volume adjustments'!$J$571:$Y$611,S$17 + 1 + $H35*$H$39, S$15)</f>
        <v>379.68247494648642</v>
      </c>
      <c r="T35" s="339">
        <f>INDEX('Volume adjustments'!$J$571:$Y$611,T$17 + 1 + $H35*$H$39, T$15)</f>
        <v>454.52780963558484</v>
      </c>
      <c r="U35" s="339">
        <f>INDEX('Volume adjustments'!$J$571:$Y$611,U$17 + 1 + $H35*$H$39, U$15)</f>
        <v>224.76835548646491</v>
      </c>
      <c r="V35" s="339">
        <f>INDEX('Volume adjustments'!$J$571:$Y$611,V$17 + 1 + $H35*$H$39, V$15)</f>
        <v>261.16699260728871</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94.532347277294178</v>
      </c>
      <c r="AH35" s="339">
        <f>INDEX('Volume adjustments'!$J$571:$Y$611,AH$17 + 1 + $H35*$H$39, AH$15)</f>
        <v>18.658964606730699</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11395.451848846675</v>
      </c>
      <c r="K36" s="339">
        <f>INDEX('Volume adjustments'!$J$571:$Y$611,K$17 + 1 + $H36*$H$39, K$15)</f>
        <v>0</v>
      </c>
      <c r="L36" s="339">
        <f>INDEX('Volume adjustments'!$J$571:$Y$611,L$17 + 1 + $H36*$H$39, L$15)</f>
        <v>0</v>
      </c>
      <c r="M36" s="339">
        <f>INDEX('Volume adjustments'!$J$571:$Y$611,M$17 + 1 + $H36*$H$39, M$15)</f>
        <v>102.72993058813056</v>
      </c>
      <c r="N36" s="339">
        <f>INDEX('Volume adjustments'!$J$571:$Y$611,N$17 + 1 + $H36*$H$39, N$15)</f>
        <v>78.311185130809903</v>
      </c>
      <c r="O36" s="339">
        <f>INDEX('Volume adjustments'!$J$571:$Y$611,O$17 + 1 + $H36*$H$39, O$15)</f>
        <v>32.764307152372574</v>
      </c>
      <c r="P36" s="339">
        <f>INDEX('Volume adjustments'!$J$571:$Y$611,P$17 + 1 + $H36*$H$39, P$15)</f>
        <v>32.950026712650889</v>
      </c>
      <c r="Q36" s="339">
        <f>INDEX('Volume adjustments'!$J$571:$Y$611,Q$17 + 1 + $H36*$H$39, Q$15)</f>
        <v>0</v>
      </c>
      <c r="R36" s="339">
        <f>INDEX('Volume adjustments'!$J$571:$Y$611,R$17 + 1 + $H36*$H$39, R$15)</f>
        <v>0</v>
      </c>
      <c r="S36" s="339">
        <f>INDEX('Volume adjustments'!$J$571:$Y$611,S$17 + 1 + $H36*$H$39, S$15)</f>
        <v>17.549170731708863</v>
      </c>
      <c r="T36" s="339">
        <f>INDEX('Volume adjustments'!$J$571:$Y$611,T$17 + 1 + $H36*$H$39, T$15)</f>
        <v>11.034984848873593</v>
      </c>
      <c r="U36" s="339">
        <f>INDEX('Volume adjustments'!$J$571:$Y$611,U$17 + 1 + $H36*$H$39, U$15)</f>
        <v>3.5954623141302782</v>
      </c>
      <c r="V36" s="339">
        <f>INDEX('Volume adjustments'!$J$571:$Y$611,V$17 + 1 + $H36*$H$39, V$15)</f>
        <v>2.2650031479540291</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743.8192057424684</v>
      </c>
      <c r="T37" s="339">
        <f>INDEX('Volume adjustments'!$J$571:$Y$611,T$17 + 1 + $H37*$H$39, T$15)</f>
        <v>1287.4251531599102</v>
      </c>
      <c r="U37" s="339">
        <f>INDEX('Volume adjustments'!$J$571:$Y$611,U$17 + 1 + $H37*$H$39, U$15)</f>
        <v>685.30850627454743</v>
      </c>
      <c r="V37" s="339">
        <f>INDEX('Volume adjustments'!$J$571:$Y$611,V$17 + 1 + $H37*$H$39, V$15)</f>
        <v>797.33741013536383</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6.5598439795778951</v>
      </c>
      <c r="T38" s="339">
        <f>INDEX('Volume adjustments'!$J$571:$Y$611,T$17 + 1 + $H38*$H$39, T$15)</f>
        <v>11.353979669943069</v>
      </c>
      <c r="U38" s="339">
        <f>INDEX('Volume adjustments'!$J$571:$Y$611,U$17 + 1 + $H38*$H$39, U$15)</f>
        <v>6.0438300656021067</v>
      </c>
      <c r="V38" s="339">
        <f>INDEX('Volume adjustments'!$J$571:$Y$611,V$17 + 1 + $H38*$H$39, V$15)</f>
        <v>7.0318283921531535</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121.56717969653396</v>
      </c>
      <c r="T39" s="195">
        <f>INDEX('Volume adjustments'!$J$571:$Y$611,T$17 + 1 + $H39*$H$39, T$15)</f>
        <v>145.5312466524272</v>
      </c>
      <c r="U39" s="195">
        <f>INDEX('Volume adjustments'!$J$571:$Y$611,U$17 + 1 + $H39*$H$39, U$15)</f>
        <v>71.96659541731205</v>
      </c>
      <c r="V39" s="195">
        <f>INDEX('Volume adjustments'!$J$571:$Y$611,V$17 + 1 + $H39*$H$39, V$15)</f>
        <v>83.620753698385656</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7813.6855843248686</v>
      </c>
      <c r="K44" s="193">
        <f>INDEX('Volume adjustments'!$J$615:$Y$655,K$17 + 1 + $H44*$H$50, K$15)</f>
        <v>0</v>
      </c>
      <c r="L44" s="193">
        <f>INDEX('Volume adjustments'!$J$615:$Y$655,L$17 + 1 + $H44*$H$50, L$15)</f>
        <v>0</v>
      </c>
      <c r="M44" s="193">
        <f>INDEX('Volume adjustments'!$J$615:$Y$655,M$17 + 1 + $H44*$H$50, M$15)</f>
        <v>40.398450714256612</v>
      </c>
      <c r="N44" s="193">
        <f>INDEX('Volume adjustments'!$J$615:$Y$655,N$17 + 1 + $H44*$H$50, N$15)</f>
        <v>183.5694425810488</v>
      </c>
      <c r="O44" s="193">
        <f>INDEX('Volume adjustments'!$J$615:$Y$655,O$17 + 1 + $H44*$H$50, O$15)</f>
        <v>184.28248581108483</v>
      </c>
      <c r="P44" s="193">
        <f>INDEX('Volume adjustments'!$J$615:$Y$655,P$17 + 1 + $H44*$H$50, P$15)</f>
        <v>598.25262892987507</v>
      </c>
      <c r="Q44" s="193">
        <f>INDEX('Volume adjustments'!$J$615:$Y$655,Q$17 + 1 + $H44*$H$50, Q$15)</f>
        <v>0</v>
      </c>
      <c r="R44" s="193">
        <f>INDEX('Volume adjustments'!$J$615:$Y$655,R$17 + 1 + $H44*$H$50, R$15)</f>
        <v>0</v>
      </c>
      <c r="S44" s="193">
        <f>INDEX('Volume adjustments'!$J$615:$Y$655,S$17 + 1 + $H44*$H$50, S$15)</f>
        <v>1610.7044984066426</v>
      </c>
      <c r="T44" s="193">
        <f>INDEX('Volume adjustments'!$J$615:$Y$655,T$17 + 1 + $H44*$H$50, T$15)</f>
        <v>1928.216433308228</v>
      </c>
      <c r="U44" s="193">
        <f>INDEX('Volume adjustments'!$J$615:$Y$655,U$17 + 1 + $H44*$H$50, U$15)</f>
        <v>953.52149538252661</v>
      </c>
      <c r="V44" s="193">
        <f>INDEX('Volume adjustments'!$J$615:$Y$655,V$17 + 1 + $H44*$H$50, V$15)</f>
        <v>1107.9332800050458</v>
      </c>
      <c r="W44" s="193">
        <f>INDEX('Volume adjustments'!$J$615:$Y$655,W$17 + 1 + $H44*$H$50, W$15)</f>
        <v>0</v>
      </c>
      <c r="X44" s="193">
        <f>INDEX('Volume adjustments'!$J$615:$Y$655,X$17 + 1 + $H44*$H$50, X$15)</f>
        <v>29.824374269733354</v>
      </c>
      <c r="Y44" s="193">
        <f>INDEX('Volume adjustments'!$J$615:$Y$655,Y$17 + 1 + $H44*$H$50, Y$15)</f>
        <v>82.348590743356411</v>
      </c>
      <c r="Z44" s="193">
        <f>INDEX('Volume adjustments'!$J$615:$Y$655,Z$17 + 1 + $H44*$H$50, Z$15)</f>
        <v>85.746209986548919</v>
      </c>
      <c r="AA44" s="193">
        <f>INDEX('Volume adjustments'!$J$615:$Y$655,AA$17 + 1 + $H44*$H$50, AA$15)</f>
        <v>330.30190463021313</v>
      </c>
      <c r="AB44" s="193">
        <f>INDEX('Volume adjustments'!$J$615:$Y$655,AB$17 + 1 + $H44*$H$50, AB$15)</f>
        <v>0</v>
      </c>
      <c r="AC44" s="193">
        <f>INDEX('Volume adjustments'!$J$615:$Y$655,AC$17 + 1 + $H44*$H$50, AC$15)</f>
        <v>141.35141652837905</v>
      </c>
      <c r="AD44" s="193">
        <f>INDEX('Volume adjustments'!$J$615:$Y$655,AD$17 + 1 + $H44*$H$50, AD$15)</f>
        <v>459.51249301391971</v>
      </c>
      <c r="AE44" s="193">
        <f>INDEX('Volume adjustments'!$J$615:$Y$655,AE$17 + 1 + $H44*$H$50, AE$15)</f>
        <v>301.76172607151216</v>
      </c>
      <c r="AF44" s="193">
        <f>INDEX('Volume adjustments'!$J$615:$Y$655,AF$17 + 1 + $H44*$H$50, AF$15)</f>
        <v>825.09573356820545</v>
      </c>
      <c r="AG44" s="193">
        <f>INDEX('Volume adjustments'!$J$615:$Y$655,AG$17 + 1 + $H44*$H$50, AG$15)</f>
        <v>4.710732375202654</v>
      </c>
      <c r="AH44" s="193">
        <f>INDEX('Volume adjustments'!$J$615:$Y$655,AH$17 + 1 + $H44*$H$50, AH$15)</f>
        <v>0</v>
      </c>
      <c r="AI44" s="193">
        <f>INDEX('Volume adjustments'!$J$615:$Y$655,AI$17 + 1 + $H44*$H$50, AI$15)</f>
        <v>0</v>
      </c>
      <c r="AJ44" s="193">
        <f>INDEX('Volume adjustments'!$J$615:$Y$655,AJ$17 + 1 + $H44*$H$50, AJ$15)</f>
        <v>9.3175685451818087</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0.28793605051586674</v>
      </c>
      <c r="AO44" s="193">
        <f>INDEX('Volume adjustments'!$J$615:$Y$655,AO$17 + 1 + $H44*$H$50, AO$15)</f>
        <v>0</v>
      </c>
    </row>
    <row r="45" spans="1:43" x14ac:dyDescent="0.3">
      <c r="A45" s="320"/>
      <c r="E45" s="28"/>
      <c r="F45" s="72" t="s">
        <v>248</v>
      </c>
      <c r="G45" s="72" t="s">
        <v>207</v>
      </c>
      <c r="H45" s="376">
        <v>1</v>
      </c>
      <c r="J45" s="339">
        <f>INDEX('Volume adjustments'!$J$615:$Y$655,J$17 + 1 + $H45*$H$50, J$15)</f>
        <v>42124.414068561608</v>
      </c>
      <c r="K45" s="339">
        <f>INDEX('Volume adjustments'!$J$615:$Y$655,K$17 + 1 + $H45*$H$50, K$15)</f>
        <v>0</v>
      </c>
      <c r="L45" s="339">
        <f>INDEX('Volume adjustments'!$J$615:$Y$655,L$17 + 1 + $H45*$H$50, L$15)</f>
        <v>0</v>
      </c>
      <c r="M45" s="339">
        <f>INDEX('Volume adjustments'!$J$615:$Y$655,M$17 + 1 + $H45*$H$50, M$15)</f>
        <v>305.64751449019064</v>
      </c>
      <c r="N45" s="339">
        <f>INDEX('Volume adjustments'!$J$615:$Y$655,N$17 + 1 + $H45*$H$50, N$15)</f>
        <v>1388.8538513049211</v>
      </c>
      <c r="O45" s="339">
        <f>INDEX('Volume adjustments'!$J$615:$Y$655,O$17 + 1 + $H45*$H$50, O$15)</f>
        <v>1394.2486099437135</v>
      </c>
      <c r="P45" s="339">
        <f>INDEX('Volume adjustments'!$J$615:$Y$655,P$17 + 1 + $H45*$H$50, P$15)</f>
        <v>4526.2733059490656</v>
      </c>
      <c r="Q45" s="339">
        <f>INDEX('Volume adjustments'!$J$615:$Y$655,Q$17 + 1 + $H45*$H$50, Q$15)</f>
        <v>0</v>
      </c>
      <c r="R45" s="339">
        <f>INDEX('Volume adjustments'!$J$615:$Y$655,R$17 + 1 + $H45*$H$50, R$15)</f>
        <v>0</v>
      </c>
      <c r="S45" s="339">
        <f>INDEX('Volume adjustments'!$J$615:$Y$655,S$17 + 1 + $H45*$H$50, S$15)</f>
        <v>10423.833606379383</v>
      </c>
      <c r="T45" s="339">
        <f>INDEX('Volume adjustments'!$J$615:$Y$655,T$17 + 1 + $H45*$H$50, T$15)</f>
        <v>12478.643523858183</v>
      </c>
      <c r="U45" s="339">
        <f>INDEX('Volume adjustments'!$J$615:$Y$655,U$17 + 1 + $H45*$H$50, U$15)</f>
        <v>6170.8087472319148</v>
      </c>
      <c r="V45" s="339">
        <f>INDEX('Volume adjustments'!$J$615:$Y$655,V$17 + 1 + $H45*$H$50, V$15)</f>
        <v>7170.0998967639725</v>
      </c>
      <c r="W45" s="339">
        <f>INDEX('Volume adjustments'!$J$615:$Y$655,W$17 + 1 + $H45*$H$50, W$15)</f>
        <v>0</v>
      </c>
      <c r="X45" s="339">
        <f>INDEX('Volume adjustments'!$J$615:$Y$655,X$17 + 1 + $H45*$H$50, X$15)</f>
        <v>174.22414506600805</v>
      </c>
      <c r="Y45" s="339">
        <f>INDEX('Volume adjustments'!$J$615:$Y$655,Y$17 + 1 + $H45*$H$50, Y$15)</f>
        <v>481.05327172653296</v>
      </c>
      <c r="Z45" s="339">
        <f>INDEX('Volume adjustments'!$J$615:$Y$655,Z$17 + 1 + $H45*$H$50, Z$15)</f>
        <v>500.90104129083045</v>
      </c>
      <c r="AA45" s="339">
        <f>INDEX('Volume adjustments'!$J$615:$Y$655,AA$17 + 1 + $H45*$H$50, AA$15)</f>
        <v>1929.5146455519418</v>
      </c>
      <c r="AB45" s="339">
        <f>INDEX('Volume adjustments'!$J$615:$Y$655,AB$17 + 1 + $H45*$H$50, AB$15)</f>
        <v>0</v>
      </c>
      <c r="AC45" s="339">
        <f>INDEX('Volume adjustments'!$J$615:$Y$655,AC$17 + 1 + $H45*$H$50, AC$15)</f>
        <v>934.81326346239746</v>
      </c>
      <c r="AD45" s="339">
        <f>INDEX('Volume adjustments'!$J$615:$Y$655,AD$17 + 1 + $H45*$H$50, AD$15)</f>
        <v>3038.9392886617607</v>
      </c>
      <c r="AE45" s="339">
        <f>INDEX('Volume adjustments'!$J$615:$Y$655,AE$17 + 1 + $H45*$H$50, AE$15)</f>
        <v>1995.6705837491279</v>
      </c>
      <c r="AF45" s="339">
        <f>INDEX('Volume adjustments'!$J$615:$Y$655,AF$17 + 1 + $H45*$H$50, AF$15)</f>
        <v>5456.6869884246225</v>
      </c>
      <c r="AG45" s="339">
        <f>INDEX('Volume adjustments'!$J$615:$Y$655,AG$17 + 1 + $H45*$H$50, AG$15)</f>
        <v>385.64429086836378</v>
      </c>
      <c r="AH45" s="339">
        <f>INDEX('Volume adjustments'!$J$615:$Y$655,AH$17 + 1 + $H45*$H$50, AH$15)</f>
        <v>0</v>
      </c>
      <c r="AI45" s="339">
        <f>INDEX('Volume adjustments'!$J$615:$Y$655,AI$17 + 1 + $H45*$H$50, AI$15)</f>
        <v>0</v>
      </c>
      <c r="AJ45" s="339">
        <f>INDEX('Volume adjustments'!$J$615:$Y$655,AJ$17 + 1 + $H45*$H$50, AJ$15)</f>
        <v>82.718185842262727</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2.9395648662404099</v>
      </c>
      <c r="AO45" s="339">
        <f>INDEX('Volume adjustments'!$J$615:$Y$655,AO$17 + 1 + $H45*$H$50, AO$15)</f>
        <v>0</v>
      </c>
    </row>
    <row r="46" spans="1:43" x14ac:dyDescent="0.3">
      <c r="A46" s="320"/>
      <c r="E46" s="28"/>
      <c r="F46" s="72" t="s">
        <v>249</v>
      </c>
      <c r="G46" s="72" t="s">
        <v>207</v>
      </c>
      <c r="H46" s="376">
        <v>2</v>
      </c>
      <c r="J46" s="339">
        <f>INDEX('Volume adjustments'!$J$615:$Y$655,J$17 + 1 + $H46*$H$50, J$15)</f>
        <v>42739.742303409541</v>
      </c>
      <c r="K46" s="339">
        <f>INDEX('Volume adjustments'!$J$615:$Y$655,K$17 + 1 + $H46*$H$50, K$15)</f>
        <v>0</v>
      </c>
      <c r="L46" s="339">
        <f>INDEX('Volume adjustments'!$J$615:$Y$655,L$17 + 1 + $H46*$H$50, L$15)</f>
        <v>0</v>
      </c>
      <c r="M46" s="339">
        <f>INDEX('Volume adjustments'!$J$615:$Y$655,M$17 + 1 + $H46*$H$50, M$15)</f>
        <v>213.48470283376727</v>
      </c>
      <c r="N46" s="339">
        <f>INDEX('Volume adjustments'!$J$615:$Y$655,N$17 + 1 + $H46*$H$50, N$15)</f>
        <v>970.06858446048329</v>
      </c>
      <c r="O46" s="339">
        <f>INDEX('Volume adjustments'!$J$615:$Y$655,O$17 + 1 + $H46*$H$50, O$15)</f>
        <v>973.83664534847549</v>
      </c>
      <c r="P46" s="339">
        <f>INDEX('Volume adjustments'!$J$615:$Y$655,P$17 + 1 + $H46*$H$50, P$15)</f>
        <v>3161.452542078373</v>
      </c>
      <c r="Q46" s="339">
        <f>INDEX('Volume adjustments'!$J$615:$Y$655,Q$17 + 1 + $H46*$H$50, Q$15)</f>
        <v>0</v>
      </c>
      <c r="R46" s="339">
        <f>INDEX('Volume adjustments'!$J$615:$Y$655,R$17 + 1 + $H46*$H$50, R$15)</f>
        <v>0</v>
      </c>
      <c r="S46" s="339">
        <f>INDEX('Volume adjustments'!$J$615:$Y$655,S$17 + 1 + $H46*$H$50, S$15)</f>
        <v>9537.6733030920877</v>
      </c>
      <c r="T46" s="339">
        <f>INDEX('Volume adjustments'!$J$615:$Y$655,T$17 + 1 + $H46*$H$50, T$15)</f>
        <v>11417.797874619437</v>
      </c>
      <c r="U46" s="339">
        <f>INDEX('Volume adjustments'!$J$615:$Y$655,U$17 + 1 + $H46*$H$50, U$15)</f>
        <v>5646.210412543579</v>
      </c>
      <c r="V46" s="339">
        <f>INDEX('Volume adjustments'!$J$615:$Y$655,V$17 + 1 + $H46*$H$50, V$15)</f>
        <v>6560.5489254948216</v>
      </c>
      <c r="W46" s="339">
        <f>INDEX('Volume adjustments'!$J$615:$Y$655,W$17 + 1 + $H46*$H$50, W$15)</f>
        <v>0</v>
      </c>
      <c r="X46" s="339">
        <f>INDEX('Volume adjustments'!$J$615:$Y$655,X$17 + 1 + $H46*$H$50, X$15)</f>
        <v>196.52933498095166</v>
      </c>
      <c r="Y46" s="339">
        <f>INDEX('Volume adjustments'!$J$615:$Y$655,Y$17 + 1 + $H46*$H$50, Y$15)</f>
        <v>542.64051373021755</v>
      </c>
      <c r="Z46" s="339">
        <f>INDEX('Volume adjustments'!$J$615:$Y$655,Z$17 + 1 + $H46*$H$50, Z$15)</f>
        <v>565.02931036829955</v>
      </c>
      <c r="AA46" s="339">
        <f>INDEX('Volume adjustments'!$J$615:$Y$655,AA$17 + 1 + $H46*$H$50, AA$15)</f>
        <v>2176.5423499863377</v>
      </c>
      <c r="AB46" s="339">
        <f>INDEX('Volume adjustments'!$J$615:$Y$655,AB$17 + 1 + $H46*$H$50, AB$15)</f>
        <v>0</v>
      </c>
      <c r="AC46" s="339">
        <f>INDEX('Volume adjustments'!$J$615:$Y$655,AC$17 + 1 + $H46*$H$50, AC$15)</f>
        <v>1191.9373651919088</v>
      </c>
      <c r="AD46" s="339">
        <f>INDEX('Volume adjustments'!$J$615:$Y$655,AD$17 + 1 + $H46*$H$50, AD$15)</f>
        <v>3874.8116124171524</v>
      </c>
      <c r="AE46" s="339">
        <f>INDEX('Volume adjustments'!$J$615:$Y$655,AE$17 + 1 + $H46*$H$50, AE$15)</f>
        <v>2544.5877057569342</v>
      </c>
      <c r="AF46" s="339">
        <f>INDEX('Volume adjustments'!$J$615:$Y$655,AF$17 + 1 + $H46*$H$50, AF$15)</f>
        <v>6957.5704216796648</v>
      </c>
      <c r="AG46" s="339">
        <f>INDEX('Volume adjustments'!$J$615:$Y$655,AG$17 + 1 + $H46*$H$50, AG$15)</f>
        <v>494.29181511786317</v>
      </c>
      <c r="AH46" s="339">
        <f>INDEX('Volume adjustments'!$J$615:$Y$655,AH$17 + 1 + $H46*$H$50, AH$15)</f>
        <v>0</v>
      </c>
      <c r="AI46" s="339">
        <f>INDEX('Volume adjustments'!$J$615:$Y$655,AI$17 + 1 + $H46*$H$50, AI$15)</f>
        <v>0</v>
      </c>
      <c r="AJ46" s="339">
        <f>INDEX('Volume adjustments'!$J$615:$Y$655,AJ$17 + 1 + $H46*$H$50, AJ$15)</f>
        <v>316.59177029657002</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2.0316824650938816</v>
      </c>
      <c r="AO46" s="339">
        <f>INDEX('Volume adjustments'!$J$615:$Y$655,AO$17 + 1 + $H46*$H$50, AO$15)</f>
        <v>0</v>
      </c>
    </row>
    <row r="47" spans="1:43" x14ac:dyDescent="0.3">
      <c r="A47" s="320"/>
      <c r="E47" s="28"/>
      <c r="F47" s="72" t="s">
        <v>212</v>
      </c>
      <c r="G47" s="72" t="s">
        <v>212</v>
      </c>
      <c r="H47" s="376">
        <v>3</v>
      </c>
      <c r="J47" s="339">
        <f>INDEX('Volume adjustments'!$J$615:$Y$655,J$17 + 1 + $H47*$H$50, J$15)</f>
        <v>33714.381027148498</v>
      </c>
      <c r="K47" s="339">
        <f>INDEX('Volume adjustments'!$J$615:$Y$655,K$17 + 1 + $H47*$H$50, K$15)</f>
        <v>0</v>
      </c>
      <c r="L47" s="339">
        <f>INDEX('Volume adjustments'!$J$615:$Y$655,L$17 + 1 + $H47*$H$50, L$15)</f>
        <v>0</v>
      </c>
      <c r="M47" s="339">
        <f>INDEX('Volume adjustments'!$J$615:$Y$655,M$17 + 1 + $H47*$H$50, M$15)</f>
        <v>432.55612576454951</v>
      </c>
      <c r="N47" s="339">
        <f>INDEX('Volume adjustments'!$J$615:$Y$655,N$17 + 1 + $H47*$H$50, N$15)</f>
        <v>329.7382043410758</v>
      </c>
      <c r="O47" s="339">
        <f>INDEX('Volume adjustments'!$J$615:$Y$655,O$17 + 1 + $H47*$H$50, O$15)</f>
        <v>137.95786373117127</v>
      </c>
      <c r="P47" s="339">
        <f>INDEX('Volume adjustments'!$J$615:$Y$655,P$17 + 1 + $H47*$H$50, P$15)</f>
        <v>138.73985718734096</v>
      </c>
      <c r="Q47" s="339">
        <f>INDEX('Volume adjustments'!$J$615:$Y$655,Q$17 + 1 + $H47*$H$50, Q$15)</f>
        <v>0</v>
      </c>
      <c r="R47" s="339">
        <f>INDEX('Volume adjustments'!$J$615:$Y$655,R$17 + 1 + $H47*$H$50, R$15)</f>
        <v>0</v>
      </c>
      <c r="S47" s="339">
        <f>INDEX('Volume adjustments'!$J$615:$Y$655,S$17 + 1 + $H47*$H$50, S$15)</f>
        <v>137.63780660998748</v>
      </c>
      <c r="T47" s="339">
        <f>INDEX('Volume adjustments'!$J$615:$Y$655,T$17 + 1 + $H47*$H$50, T$15)</f>
        <v>86.547172729312692</v>
      </c>
      <c r="U47" s="339">
        <f>INDEX('Volume adjustments'!$J$615:$Y$655,U$17 + 1 + $H47*$H$50, U$15)</f>
        <v>28.199141385729334</v>
      </c>
      <c r="V47" s="339">
        <f>INDEX('Volume adjustments'!$J$615:$Y$655,V$17 + 1 + $H47*$H$50, V$15)</f>
        <v>17.764375879358298</v>
      </c>
      <c r="W47" s="339">
        <f>INDEX('Volume adjustments'!$J$615:$Y$655,W$17 + 1 + $H47*$H$50, W$15)</f>
        <v>0</v>
      </c>
      <c r="X47" s="339">
        <f>INDEX('Volume adjustments'!$J$615:$Y$655,X$17 + 1 + $H47*$H$50, X$15)</f>
        <v>1.080346161740628</v>
      </c>
      <c r="Y47" s="339">
        <f>INDEX('Volume adjustments'!$J$615:$Y$655,Y$17 + 1 + $H47*$H$50, Y$15)</f>
        <v>1.504198785668367</v>
      </c>
      <c r="Z47" s="339">
        <f>INDEX('Volume adjustments'!$J$615:$Y$655,Z$17 + 1 + $H47*$H$50, Z$15)</f>
        <v>0.99430089222146278</v>
      </c>
      <c r="AA47" s="339">
        <f>INDEX('Volume adjustments'!$J$615:$Y$655,AA$17 + 1 + $H47*$H$50, AA$15)</f>
        <v>1.8993696530897177</v>
      </c>
      <c r="AB47" s="339">
        <f>INDEX('Volume adjustments'!$J$615:$Y$655,AB$17 + 1 + $H47*$H$50, AB$15)</f>
        <v>0</v>
      </c>
      <c r="AC47" s="339">
        <f>INDEX('Volume adjustments'!$J$615:$Y$655,AC$17 + 1 + $H47*$H$50, AC$15)</f>
        <v>4.5172988511399623</v>
      </c>
      <c r="AD47" s="339">
        <f>INDEX('Volume adjustments'!$J$615:$Y$655,AD$17 + 1 + $H47*$H$50, AD$15)</f>
        <v>3.9130110662286954</v>
      </c>
      <c r="AE47" s="339">
        <f>INDEX('Volume adjustments'!$J$615:$Y$655,AE$17 + 1 + $H47*$H$50, AE$15)</f>
        <v>1.2184819269522267</v>
      </c>
      <c r="AF47" s="339">
        <f>INDEX('Volume adjustments'!$J$615:$Y$655,AF$17 + 1 + $H47*$H$50, AF$15)</f>
        <v>1.3076391411194628</v>
      </c>
      <c r="AG47" s="339">
        <f>INDEX('Volume adjustments'!$J$615:$Y$655,AG$17 + 1 + $H47*$H$50, AG$15)</f>
        <v>0.58390516788023794</v>
      </c>
      <c r="AH47" s="339">
        <f>INDEX('Volume adjustments'!$J$615:$Y$655,AH$17 + 1 + $H47*$H$50, AH$15)</f>
        <v>0</v>
      </c>
      <c r="AI47" s="339">
        <f>INDEX('Volume adjustments'!$J$615:$Y$655,AI$17 + 1 + $H47*$H$50, AI$15)</f>
        <v>0</v>
      </c>
      <c r="AJ47" s="339">
        <f>INDEX('Volume adjustments'!$J$615:$Y$655,AJ$17 + 1 + $H47*$H$50, AJ$15)</f>
        <v>4.912912803409677</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0.24209302560552895</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11053.017172588452</v>
      </c>
      <c r="T48" s="339">
        <f>INDEX('Volume adjustments'!$J$615:$Y$655,T$17 + 1 + $H48*$H$50, T$15)</f>
        <v>19130.90199397946</v>
      </c>
      <c r="U48" s="339">
        <f>INDEX('Volume adjustments'!$J$615:$Y$655,U$17 + 1 + $H48*$H$50, U$15)</f>
        <v>10183.558894278001</v>
      </c>
      <c r="V48" s="339">
        <f>INDEX('Volume adjustments'!$J$615:$Y$655,V$17 + 1 + $H48*$H$50, V$15)</f>
        <v>11848.287888420948</v>
      </c>
      <c r="W48" s="339">
        <f>INDEX('Volume adjustments'!$J$615:$Y$655,W$17 + 1 + $H48*$H$50, W$15)</f>
        <v>0</v>
      </c>
      <c r="X48" s="339">
        <f>INDEX('Volume adjustments'!$J$615:$Y$655,X$17 + 1 + $H48*$H$50, X$15)</f>
        <v>140.12118119972334</v>
      </c>
      <c r="Y48" s="339">
        <f>INDEX('Volume adjustments'!$J$615:$Y$655,Y$17 + 1 + $H48*$H$50, Y$15)</f>
        <v>485.29137050206526</v>
      </c>
      <c r="Z48" s="339">
        <f>INDEX('Volume adjustments'!$J$615:$Y$655,Z$17 + 1 + $H48*$H$50, Z$15)</f>
        <v>511.14598201861844</v>
      </c>
      <c r="AA48" s="339">
        <f>INDEX('Volume adjustments'!$J$615:$Y$655,AA$17 + 1 + $H48*$H$50, AA$15)</f>
        <v>2017.5240362132338</v>
      </c>
      <c r="AB48" s="339">
        <f>INDEX('Volume adjustments'!$J$615:$Y$655,AB$17 + 1 + $H48*$H$50, AB$15)</f>
        <v>0</v>
      </c>
      <c r="AC48" s="339">
        <f>INDEX('Volume adjustments'!$J$615:$Y$655,AC$17 + 1 + $H48*$H$50, AC$15)</f>
        <v>1196.8181916542871</v>
      </c>
      <c r="AD48" s="339">
        <f>INDEX('Volume adjustments'!$J$615:$Y$655,AD$17 + 1 + $H48*$H$50, AD$15)</f>
        <v>3778.6116935387367</v>
      </c>
      <c r="AE48" s="339">
        <f>INDEX('Volume adjustments'!$J$615:$Y$655,AE$17 + 1 + $H48*$H$50, AE$15)</f>
        <v>2389.9094053500071</v>
      </c>
      <c r="AF48" s="339">
        <f>INDEX('Volume adjustments'!$J$615:$Y$655,AF$17 + 1 + $H48*$H$50, AF$15)</f>
        <v>6072.7233130995573</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52.511460523249077</v>
      </c>
      <c r="T49" s="339">
        <f>INDEX('Volume adjustments'!$J$615:$Y$655,T$17 + 1 + $H49*$H$50, T$15)</f>
        <v>90.888450560123303</v>
      </c>
      <c r="U49" s="339">
        <f>INDEX('Volume adjustments'!$J$615:$Y$655,U$17 + 1 + $H49*$H$50, U$15)</f>
        <v>48.380776263448972</v>
      </c>
      <c r="V49" s="339">
        <f>INDEX('Volume adjustments'!$J$615:$Y$655,V$17 + 1 + $H49*$H$50, V$15)</f>
        <v>56.289689231994885</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0</v>
      </c>
      <c r="AD49" s="339">
        <f>INDEX('Volume adjustments'!$J$615:$Y$655,AD$17 + 1 + $H49*$H$50, AD$15)</f>
        <v>0</v>
      </c>
      <c r="AE49" s="339">
        <f>INDEX('Volume adjustments'!$J$615:$Y$655,AE$17 + 1 + $H49*$H$50, AE$15)</f>
        <v>0</v>
      </c>
      <c r="AF49" s="339">
        <f>INDEX('Volume adjustments'!$J$615:$Y$655,AF$17 + 1 + $H49*$H$50, AF$15)</f>
        <v>0</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1019.7116669502295</v>
      </c>
      <c r="T50" s="195">
        <f>INDEX('Volume adjustments'!$J$615:$Y$655,T$17 + 1 + $H50*$H$50, T$15)</f>
        <v>1220.7234755938211</v>
      </c>
      <c r="U50" s="195">
        <f>INDEX('Volume adjustments'!$J$615:$Y$655,U$17 + 1 + $H50*$H$50, U$15)</f>
        <v>603.65945118501691</v>
      </c>
      <c r="V50" s="195">
        <f>INDEX('Volume adjustments'!$J$615:$Y$655,V$17 + 1 + $H50*$H$50, V$15)</f>
        <v>701.41512173163085</v>
      </c>
      <c r="W50" s="195">
        <f>INDEX('Volume adjustments'!$J$615:$Y$655,W$17 + 1 + $H50*$H$50, W$15)</f>
        <v>0</v>
      </c>
      <c r="X50" s="195">
        <f>INDEX('Volume adjustments'!$J$615:$Y$655,X$17 + 1 + $H50*$H$50, X$15)</f>
        <v>30.195638942669014</v>
      </c>
      <c r="Y50" s="195">
        <f>INDEX('Volume adjustments'!$J$615:$Y$655,Y$17 + 1 + $H50*$H$50, Y$15)</f>
        <v>83.373695992255847</v>
      </c>
      <c r="Z50" s="195">
        <f>INDEX('Volume adjustments'!$J$615:$Y$655,Z$17 + 1 + $H50*$H$50, Z$15)</f>
        <v>86.813610037199268</v>
      </c>
      <c r="AA50" s="195">
        <f>INDEX('Volume adjustments'!$J$615:$Y$655,AA$17 + 1 + $H50*$H$50, AA$15)</f>
        <v>334.41362303488086</v>
      </c>
      <c r="AB50" s="195">
        <f>INDEX('Volume adjustments'!$J$615:$Y$655,AB$17 + 1 + $H50*$H$50, AB$15)</f>
        <v>0</v>
      </c>
      <c r="AC50" s="195">
        <f>INDEX('Volume adjustments'!$J$615:$Y$655,AC$17 + 1 + $H50*$H$50, AC$15)</f>
        <v>47.65927285120798</v>
      </c>
      <c r="AD50" s="195">
        <f>INDEX('Volume adjustments'!$J$615:$Y$655,AD$17 + 1 + $H50*$H$50, AD$15)</f>
        <v>154.93322826865582</v>
      </c>
      <c r="AE50" s="195">
        <f>INDEX('Volume adjustments'!$J$615:$Y$655,AE$17 + 1 + $H50*$H$50, AE$15)</f>
        <v>101.74460781584219</v>
      </c>
      <c r="AF50" s="195">
        <f>INDEX('Volume adjustments'!$J$615:$Y$655,AF$17 + 1 + $H50*$H$50, AF$15)</f>
        <v>278.19645292765608</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2.1782595025625353</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14.404999999999999</v>
      </c>
      <c r="K55" s="278">
        <f>Rounding!K150</f>
        <v>14.404999999999999</v>
      </c>
      <c r="L55" s="278">
        <f>Rounding!L150</f>
        <v>13.054</v>
      </c>
      <c r="M55" s="278">
        <f>Rounding!M150</f>
        <v>13.054</v>
      </c>
      <c r="N55" s="278">
        <f>Rounding!N150</f>
        <v>13.054</v>
      </c>
      <c r="O55" s="278">
        <f>Rounding!O150</f>
        <v>13.054</v>
      </c>
      <c r="P55" s="278">
        <f>Rounding!P150</f>
        <v>13.054</v>
      </c>
      <c r="Q55" s="278">
        <f>Rounding!Q150</f>
        <v>13.054</v>
      </c>
      <c r="R55" s="278">
        <f>Rounding!R150</f>
        <v>8.407</v>
      </c>
      <c r="S55" s="278">
        <f>Rounding!S150</f>
        <v>8.407</v>
      </c>
      <c r="T55" s="278">
        <f>Rounding!T150</f>
        <v>8.407</v>
      </c>
      <c r="U55" s="278">
        <f>Rounding!U150</f>
        <v>8.407</v>
      </c>
      <c r="V55" s="278">
        <f>Rounding!V150</f>
        <v>8.407</v>
      </c>
      <c r="W55" s="278">
        <f>Rounding!W150</f>
        <v>6.5529999999999999</v>
      </c>
      <c r="X55" s="278">
        <f>Rounding!X150</f>
        <v>6.5529999999999999</v>
      </c>
      <c r="Y55" s="278">
        <f>Rounding!Y150</f>
        <v>6.5529999999999999</v>
      </c>
      <c r="Z55" s="278">
        <f>Rounding!Z150</f>
        <v>6.5529999999999999</v>
      </c>
      <c r="AA55" s="278">
        <f>Rounding!AA150</f>
        <v>6.5529999999999999</v>
      </c>
      <c r="AB55" s="278">
        <f>Rounding!AB150</f>
        <v>4.8029999999999999</v>
      </c>
      <c r="AC55" s="278">
        <f>Rounding!AC150</f>
        <v>4.8029999999999999</v>
      </c>
      <c r="AD55" s="278">
        <f>Rounding!AD150</f>
        <v>4.8029999999999999</v>
      </c>
      <c r="AE55" s="278">
        <f>Rounding!AE150</f>
        <v>4.8029999999999999</v>
      </c>
      <c r="AF55" s="278">
        <f>Rounding!AF150</f>
        <v>4.8029999999999999</v>
      </c>
      <c r="AG55" s="278">
        <f>Rounding!AG150</f>
        <v>38.11</v>
      </c>
      <c r="AH55" s="278">
        <f>Rounding!AH150</f>
        <v>-8.5660000000000007</v>
      </c>
      <c r="AI55" s="278">
        <f>Rounding!AI150</f>
        <v>-7.7569999999999997</v>
      </c>
      <c r="AJ55" s="278">
        <f>Rounding!AJ150</f>
        <v>-8.5660000000000007</v>
      </c>
      <c r="AK55" s="278">
        <f>Rounding!AK150</f>
        <v>-8.5660000000000007</v>
      </c>
      <c r="AL55" s="278">
        <f>Rounding!AL150</f>
        <v>-7.7569999999999997</v>
      </c>
      <c r="AM55" s="278">
        <f>Rounding!AM150</f>
        <v>-7.7569999999999997</v>
      </c>
      <c r="AN55" s="278">
        <f>Rounding!AN150</f>
        <v>-5.2249999999999996</v>
      </c>
      <c r="AO55" s="278">
        <f>Rounding!AO150</f>
        <v>-5.2249999999999996</v>
      </c>
      <c r="AP55" s="267"/>
      <c r="AQ55" s="267"/>
    </row>
    <row r="56" spans="1:43" x14ac:dyDescent="0.3">
      <c r="E56" s="28"/>
      <c r="F56" t="s">
        <v>157</v>
      </c>
      <c r="G56" s="13" t="s">
        <v>269</v>
      </c>
      <c r="H56" s="279"/>
      <c r="I56" s="267"/>
      <c r="J56" s="279">
        <f>Rounding!J151</f>
        <v>0.72399999999999998</v>
      </c>
      <c r="K56" s="279">
        <f>Rounding!K151</f>
        <v>0.72399999999999998</v>
      </c>
      <c r="L56" s="279">
        <f>Rounding!L151</f>
        <v>0.65600000000000003</v>
      </c>
      <c r="M56" s="279">
        <f>Rounding!M151</f>
        <v>0.65600000000000003</v>
      </c>
      <c r="N56" s="279">
        <f>Rounding!N151</f>
        <v>0.65600000000000003</v>
      </c>
      <c r="O56" s="279">
        <f>Rounding!O151</f>
        <v>0.65600000000000003</v>
      </c>
      <c r="P56" s="279">
        <f>Rounding!P151</f>
        <v>0.65600000000000003</v>
      </c>
      <c r="Q56" s="279">
        <f>Rounding!Q151</f>
        <v>0.65600000000000003</v>
      </c>
      <c r="R56" s="279">
        <f>Rounding!R151</f>
        <v>0.38300000000000001</v>
      </c>
      <c r="S56" s="279">
        <f>Rounding!S151</f>
        <v>0.38300000000000001</v>
      </c>
      <c r="T56" s="279">
        <f>Rounding!T151</f>
        <v>0.38300000000000001</v>
      </c>
      <c r="U56" s="279">
        <f>Rounding!U151</f>
        <v>0.38300000000000001</v>
      </c>
      <c r="V56" s="279">
        <f>Rounding!V151</f>
        <v>0.38300000000000001</v>
      </c>
      <c r="W56" s="279">
        <f>Rounding!W151</f>
        <v>0.23599999999999999</v>
      </c>
      <c r="X56" s="279">
        <f>Rounding!X151</f>
        <v>0.23599999999999999</v>
      </c>
      <c r="Y56" s="279">
        <f>Rounding!Y151</f>
        <v>0.23599999999999999</v>
      </c>
      <c r="Z56" s="279">
        <f>Rounding!Z151</f>
        <v>0.23599999999999999</v>
      </c>
      <c r="AA56" s="279">
        <f>Rounding!AA151</f>
        <v>0.23599999999999999</v>
      </c>
      <c r="AB56" s="279">
        <f>Rounding!AB151</f>
        <v>0.13100000000000001</v>
      </c>
      <c r="AC56" s="279">
        <f>Rounding!AC151</f>
        <v>0.13100000000000001</v>
      </c>
      <c r="AD56" s="279">
        <f>Rounding!AD151</f>
        <v>0.13100000000000001</v>
      </c>
      <c r="AE56" s="279">
        <f>Rounding!AE151</f>
        <v>0.13100000000000001</v>
      </c>
      <c r="AF56" s="279">
        <f>Rounding!AF151</f>
        <v>0.13100000000000001</v>
      </c>
      <c r="AG56" s="279">
        <f>Rounding!AG151</f>
        <v>3.4180000000000001</v>
      </c>
      <c r="AH56" s="279">
        <f>Rounding!AH151</f>
        <v>-0.43</v>
      </c>
      <c r="AI56" s="279">
        <f>Rounding!AI151</f>
        <v>-0.36699999999999999</v>
      </c>
      <c r="AJ56" s="279">
        <f>Rounding!AJ151</f>
        <v>-0.43</v>
      </c>
      <c r="AK56" s="279">
        <f>Rounding!AK151</f>
        <v>-0.43</v>
      </c>
      <c r="AL56" s="279">
        <f>Rounding!AL151</f>
        <v>-0.36699999999999999</v>
      </c>
      <c r="AM56" s="279">
        <f>Rounding!AM151</f>
        <v>-0.36699999999999999</v>
      </c>
      <c r="AN56" s="279">
        <f>Rounding!AN151</f>
        <v>-0.17100000000000001</v>
      </c>
      <c r="AO56" s="279">
        <f>Rounding!AO151</f>
        <v>-0.17100000000000001</v>
      </c>
      <c r="AP56" s="267"/>
      <c r="AQ56" s="267"/>
    </row>
    <row r="57" spans="1:43" x14ac:dyDescent="0.3">
      <c r="E57" s="28"/>
      <c r="F57" t="s">
        <v>158</v>
      </c>
      <c r="G57" s="13" t="s">
        <v>269</v>
      </c>
      <c r="H57" s="279"/>
      <c r="I57" s="267"/>
      <c r="J57" s="279">
        <f>Rounding!J152</f>
        <v>6.9000000000000006E-2</v>
      </c>
      <c r="K57" s="279">
        <f>Rounding!K152</f>
        <v>6.9000000000000006E-2</v>
      </c>
      <c r="L57" s="279">
        <f>Rounding!L152</f>
        <v>6.2E-2</v>
      </c>
      <c r="M57" s="279">
        <f>Rounding!M152</f>
        <v>6.2E-2</v>
      </c>
      <c r="N57" s="279">
        <f>Rounding!N152</f>
        <v>6.2E-2</v>
      </c>
      <c r="O57" s="279">
        <f>Rounding!O152</f>
        <v>6.2E-2</v>
      </c>
      <c r="P57" s="279">
        <f>Rounding!P152</f>
        <v>6.2E-2</v>
      </c>
      <c r="Q57" s="279">
        <f>Rounding!Q152</f>
        <v>6.2E-2</v>
      </c>
      <c r="R57" s="279">
        <f>Rounding!R152</f>
        <v>3.5999999999999997E-2</v>
      </c>
      <c r="S57" s="279">
        <f>Rounding!S152</f>
        <v>3.5999999999999997E-2</v>
      </c>
      <c r="T57" s="279">
        <f>Rounding!T152</f>
        <v>3.5999999999999997E-2</v>
      </c>
      <c r="U57" s="279">
        <f>Rounding!U152</f>
        <v>3.5999999999999997E-2</v>
      </c>
      <c r="V57" s="279">
        <f>Rounding!V152</f>
        <v>3.5999999999999997E-2</v>
      </c>
      <c r="W57" s="279">
        <f>Rounding!W152</f>
        <v>2.1999999999999999E-2</v>
      </c>
      <c r="X57" s="279">
        <f>Rounding!X152</f>
        <v>2.1999999999999999E-2</v>
      </c>
      <c r="Y57" s="279">
        <f>Rounding!Y152</f>
        <v>2.1999999999999999E-2</v>
      </c>
      <c r="Z57" s="279">
        <f>Rounding!Z152</f>
        <v>2.1999999999999999E-2</v>
      </c>
      <c r="AA57" s="279">
        <f>Rounding!AA152</f>
        <v>2.1999999999999999E-2</v>
      </c>
      <c r="AB57" s="279">
        <f>Rounding!AB152</f>
        <v>1.2E-2</v>
      </c>
      <c r="AC57" s="279">
        <f>Rounding!AC152</f>
        <v>1.2E-2</v>
      </c>
      <c r="AD57" s="279">
        <f>Rounding!AD152</f>
        <v>1.2E-2</v>
      </c>
      <c r="AE57" s="279">
        <f>Rounding!AE152</f>
        <v>1.2E-2</v>
      </c>
      <c r="AF57" s="279">
        <f>Rounding!AF152</f>
        <v>1.2E-2</v>
      </c>
      <c r="AG57" s="279">
        <f>Rounding!AG152</f>
        <v>2.5</v>
      </c>
      <c r="AH57" s="279">
        <f>Rounding!AH152</f>
        <v>-4.1000000000000002E-2</v>
      </c>
      <c r="AI57" s="279">
        <f>Rounding!AI152</f>
        <v>-3.5000000000000003E-2</v>
      </c>
      <c r="AJ57" s="279">
        <f>Rounding!AJ152</f>
        <v>-4.1000000000000002E-2</v>
      </c>
      <c r="AK57" s="279">
        <f>Rounding!AK152</f>
        <v>-4.1000000000000002E-2</v>
      </c>
      <c r="AL57" s="279">
        <f>Rounding!AL152</f>
        <v>-3.5000000000000003E-2</v>
      </c>
      <c r="AM57" s="279">
        <f>Rounding!AM152</f>
        <v>-3.5000000000000003E-2</v>
      </c>
      <c r="AN57" s="279">
        <f>Rounding!AN152</f>
        <v>-1.6E-2</v>
      </c>
      <c r="AO57" s="279">
        <f>Rounding!AO152</f>
        <v>-1.6E-2</v>
      </c>
      <c r="AP57" s="267"/>
      <c r="AQ57" s="267"/>
    </row>
    <row r="58" spans="1:43" x14ac:dyDescent="0.3">
      <c r="E58" s="28"/>
      <c r="F58" t="s">
        <v>159</v>
      </c>
      <c r="G58" s="13" t="s">
        <v>270</v>
      </c>
      <c r="H58" s="51"/>
      <c r="J58" s="120">
        <f>Rounding!J153</f>
        <v>28.97</v>
      </c>
      <c r="K58" s="120">
        <f>Rounding!K153</f>
        <v>0</v>
      </c>
      <c r="L58" s="120">
        <f>Rounding!L153</f>
        <v>10.220000000000001</v>
      </c>
      <c r="M58" s="120">
        <f>Rounding!M153</f>
        <v>15.49</v>
      </c>
      <c r="N58" s="120">
        <f>Rounding!N153</f>
        <v>41.65</v>
      </c>
      <c r="O58" s="120">
        <f>Rounding!O153</f>
        <v>85.63</v>
      </c>
      <c r="P58" s="120">
        <f>Rounding!P153</f>
        <v>253.64</v>
      </c>
      <c r="Q58" s="120">
        <f>Rounding!Q153</f>
        <v>0</v>
      </c>
      <c r="R58" s="120">
        <f>Rounding!R153</f>
        <v>14.23</v>
      </c>
      <c r="S58" s="120">
        <f>Rounding!S153</f>
        <v>355.55</v>
      </c>
      <c r="T58" s="120">
        <f>Rounding!T153</f>
        <v>690.61</v>
      </c>
      <c r="U58" s="120">
        <f>Rounding!U153</f>
        <v>1109.1400000000001</v>
      </c>
      <c r="V58" s="120">
        <f>Rounding!V153</f>
        <v>2420.69</v>
      </c>
      <c r="W58" s="120">
        <f>Rounding!W153</f>
        <v>11.13</v>
      </c>
      <c r="X58" s="120">
        <f>Rounding!X153</f>
        <v>352.45</v>
      </c>
      <c r="Y58" s="120">
        <f>Rounding!Y153</f>
        <v>687.5</v>
      </c>
      <c r="Z58" s="120">
        <f>Rounding!Z153</f>
        <v>1106.04</v>
      </c>
      <c r="AA58" s="120">
        <f>Rounding!AA153</f>
        <v>2417.59</v>
      </c>
      <c r="AB58" s="120">
        <f>Rounding!AB153</f>
        <v>101.97</v>
      </c>
      <c r="AC58" s="120">
        <f>Rounding!AC153</f>
        <v>1690.9</v>
      </c>
      <c r="AD58" s="120">
        <f>Rounding!AD153</f>
        <v>6065.04</v>
      </c>
      <c r="AE58" s="120">
        <f>Rounding!AE153</f>
        <v>12677.57</v>
      </c>
      <c r="AF58" s="120">
        <f>Rounding!AF153</f>
        <v>32142.53</v>
      </c>
      <c r="AG58" s="120">
        <f>Rounding!AG153</f>
        <v>0</v>
      </c>
      <c r="AH58" s="120">
        <f>Rounding!AH153</f>
        <v>0</v>
      </c>
      <c r="AI58" s="120">
        <f>Rounding!AI153</f>
        <v>0</v>
      </c>
      <c r="AJ58" s="120">
        <f>Rounding!AJ153</f>
        <v>0</v>
      </c>
      <c r="AK58" s="120">
        <f>Rounding!AK153</f>
        <v>0</v>
      </c>
      <c r="AL58" s="120">
        <f>Rounding!AL153</f>
        <v>0</v>
      </c>
      <c r="AM58" s="120">
        <f>Rounding!AM153</f>
        <v>0</v>
      </c>
      <c r="AN58" s="120">
        <f>Rounding!AN153</f>
        <v>63.76</v>
      </c>
      <c r="AO58" s="120">
        <f>Rounding!AO153</f>
        <v>63.76</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3.98</v>
      </c>
      <c r="S59" s="120">
        <f>Rounding!S154</f>
        <v>3.98</v>
      </c>
      <c r="T59" s="120">
        <f>Rounding!T154</f>
        <v>3.98</v>
      </c>
      <c r="U59" s="120">
        <f>Rounding!U154</f>
        <v>3.98</v>
      </c>
      <c r="V59" s="120">
        <f>Rounding!V154</f>
        <v>3.98</v>
      </c>
      <c r="W59" s="120">
        <f>Rounding!W154</f>
        <v>3.61</v>
      </c>
      <c r="X59" s="120">
        <f>Rounding!X154</f>
        <v>3.61</v>
      </c>
      <c r="Y59" s="120">
        <f>Rounding!Y154</f>
        <v>3.61</v>
      </c>
      <c r="Z59" s="120">
        <f>Rounding!Z154</f>
        <v>3.61</v>
      </c>
      <c r="AA59" s="120">
        <f>Rounding!AA154</f>
        <v>3.61</v>
      </c>
      <c r="AB59" s="120">
        <f>Rounding!AB154</f>
        <v>3.07</v>
      </c>
      <c r="AC59" s="120">
        <f>Rounding!AC154</f>
        <v>3.07</v>
      </c>
      <c r="AD59" s="120">
        <f>Rounding!AD154</f>
        <v>3.07</v>
      </c>
      <c r="AE59" s="120">
        <f>Rounding!AE154</f>
        <v>3.07</v>
      </c>
      <c r="AF59" s="120">
        <f>Rounding!AF154</f>
        <v>3.07</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8.3000000000000007</v>
      </c>
      <c r="S60" s="120">
        <f>Rounding!S155</f>
        <v>8.3000000000000007</v>
      </c>
      <c r="T60" s="120">
        <f>Rounding!T155</f>
        <v>8.3000000000000007</v>
      </c>
      <c r="U60" s="120">
        <f>Rounding!U155</f>
        <v>8.3000000000000007</v>
      </c>
      <c r="V60" s="120">
        <f>Rounding!V155</f>
        <v>8.3000000000000007</v>
      </c>
      <c r="W60" s="120">
        <f>Rounding!W155</f>
        <v>6.88</v>
      </c>
      <c r="X60" s="120">
        <f>Rounding!X155</f>
        <v>6.88</v>
      </c>
      <c r="Y60" s="120">
        <f>Rounding!Y155</f>
        <v>6.88</v>
      </c>
      <c r="Z60" s="120">
        <f>Rounding!Z155</f>
        <v>6.88</v>
      </c>
      <c r="AA60" s="120">
        <f>Rounding!AA155</f>
        <v>6.88</v>
      </c>
      <c r="AB60" s="120">
        <f>Rounding!AB155</f>
        <v>6.78</v>
      </c>
      <c r="AC60" s="120">
        <f>Rounding!AC155</f>
        <v>6.78</v>
      </c>
      <c r="AD60" s="120">
        <f>Rounding!AD155</f>
        <v>6.78</v>
      </c>
      <c r="AE60" s="120">
        <f>Rounding!AE155</f>
        <v>6.78</v>
      </c>
      <c r="AF60" s="120">
        <f>Rounding!AF155</f>
        <v>6.78</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0.11700000000000001</v>
      </c>
      <c r="S61" s="283">
        <f>Rounding!S156</f>
        <v>0.11700000000000001</v>
      </c>
      <c r="T61" s="283">
        <f>Rounding!T156</f>
        <v>0.11700000000000001</v>
      </c>
      <c r="U61" s="283">
        <f>Rounding!U156</f>
        <v>0.11700000000000001</v>
      </c>
      <c r="V61" s="283">
        <f>Rounding!V156</f>
        <v>0.11700000000000001</v>
      </c>
      <c r="W61" s="283">
        <f>Rounding!W156</f>
        <v>0.08</v>
      </c>
      <c r="X61" s="283">
        <f>Rounding!X156</f>
        <v>0.08</v>
      </c>
      <c r="Y61" s="283">
        <f>Rounding!Y156</f>
        <v>0.08</v>
      </c>
      <c r="Z61" s="283">
        <f>Rounding!Z156</f>
        <v>0.08</v>
      </c>
      <c r="AA61" s="283">
        <f>Rounding!AA156</f>
        <v>0.08</v>
      </c>
      <c r="AB61" s="283">
        <f>Rounding!AB156</f>
        <v>5.2999999999999999E-2</v>
      </c>
      <c r="AC61" s="283">
        <f>Rounding!AC156</f>
        <v>5.2999999999999999E-2</v>
      </c>
      <c r="AD61" s="283">
        <f>Rounding!AD156</f>
        <v>5.2999999999999999E-2</v>
      </c>
      <c r="AE61" s="283">
        <f>Rounding!AE156</f>
        <v>5.2999999999999999E-2</v>
      </c>
      <c r="AF61" s="283">
        <f>Rounding!AF156</f>
        <v>5.2999999999999999E-2</v>
      </c>
      <c r="AG61" s="283">
        <f>Rounding!AG156</f>
        <v>0</v>
      </c>
      <c r="AH61" s="283">
        <f>Rounding!AH156</f>
        <v>0</v>
      </c>
      <c r="AI61" s="283">
        <f>Rounding!AI156</f>
        <v>0</v>
      </c>
      <c r="AJ61" s="283">
        <f>Rounding!AJ156</f>
        <v>0.128</v>
      </c>
      <c r="AK61" s="283">
        <f>Rounding!AK156</f>
        <v>0</v>
      </c>
      <c r="AL61" s="283">
        <f>Rounding!AL156</f>
        <v>0.10299999999999999</v>
      </c>
      <c r="AM61" s="283">
        <f>Rounding!AM156</f>
        <v>0</v>
      </c>
      <c r="AN61" s="283">
        <f>Rounding!AN156</f>
        <v>7.9000000000000001E-2</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8.9179999999999993</v>
      </c>
      <c r="K64" s="278">
        <f>Rounding!K159</f>
        <v>8.9179999999999993</v>
      </c>
      <c r="L64" s="278">
        <f>Rounding!L159</f>
        <v>8.0820000000000007</v>
      </c>
      <c r="M64" s="278">
        <f>Rounding!M159</f>
        <v>8.0820000000000007</v>
      </c>
      <c r="N64" s="278">
        <f>Rounding!N159</f>
        <v>8.0820000000000007</v>
      </c>
      <c r="O64" s="278">
        <f>Rounding!O159</f>
        <v>8.0820000000000007</v>
      </c>
      <c r="P64" s="278">
        <f>Rounding!P159</f>
        <v>8.0820000000000007</v>
      </c>
      <c r="Q64" s="278">
        <f>Rounding!Q159</f>
        <v>8.0820000000000007</v>
      </c>
      <c r="R64" s="278">
        <f>Rounding!R159</f>
        <v>5.2050000000000001</v>
      </c>
      <c r="S64" s="278">
        <f>Rounding!S159</f>
        <v>5.2050000000000001</v>
      </c>
      <c r="T64" s="278">
        <f>Rounding!T159</f>
        <v>5.2050000000000001</v>
      </c>
      <c r="U64" s="278">
        <f>Rounding!U159</f>
        <v>5.2050000000000001</v>
      </c>
      <c r="V64" s="278">
        <f>Rounding!V159</f>
        <v>5.2050000000000001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23.594000000000001</v>
      </c>
      <c r="AH64" s="278">
        <f>Rounding!AH159</f>
        <v>-8.5660000000000007</v>
      </c>
      <c r="AI64" s="278">
        <f>Rounding!AI159</f>
        <v>0</v>
      </c>
      <c r="AJ64" s="278">
        <f>Rounding!AJ159</f>
        <v>-8.5660000000000007</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0.44800000000000001</v>
      </c>
      <c r="K65" s="279">
        <f>Rounding!K160</f>
        <v>0.44800000000000001</v>
      </c>
      <c r="L65" s="279">
        <f>Rounding!L160</f>
        <v>0.40600000000000003</v>
      </c>
      <c r="M65" s="279">
        <f>Rounding!M160</f>
        <v>0.40600000000000003</v>
      </c>
      <c r="N65" s="279">
        <f>Rounding!N160</f>
        <v>0.40600000000000003</v>
      </c>
      <c r="O65" s="279">
        <f>Rounding!O160</f>
        <v>0.40600000000000003</v>
      </c>
      <c r="P65" s="279">
        <f>Rounding!P160</f>
        <v>0.40600000000000003</v>
      </c>
      <c r="Q65" s="279">
        <f>Rounding!Q160</f>
        <v>0.40600000000000003</v>
      </c>
      <c r="R65" s="279">
        <f>Rounding!R160</f>
        <v>0.23699999999999999</v>
      </c>
      <c r="S65" s="279">
        <f>Rounding!S160</f>
        <v>0.23699999999999999</v>
      </c>
      <c r="T65" s="279">
        <f>Rounding!T160</f>
        <v>0.23699999999999999</v>
      </c>
      <c r="U65" s="279">
        <f>Rounding!U160</f>
        <v>0.23699999999999999</v>
      </c>
      <c r="V65" s="279">
        <f>Rounding!V160</f>
        <v>0.23699999999999999</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2.1160000000000001</v>
      </c>
      <c r="AH65" s="279">
        <f>Rounding!AH160</f>
        <v>-0.43</v>
      </c>
      <c r="AI65" s="279">
        <f>Rounding!AI160</f>
        <v>0</v>
      </c>
      <c r="AJ65" s="279">
        <f>Rounding!AJ160</f>
        <v>-0.43</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4.2999999999999997E-2</v>
      </c>
      <c r="K66" s="279">
        <f>Rounding!K161</f>
        <v>4.2999999999999997E-2</v>
      </c>
      <c r="L66" s="279">
        <f>Rounding!L161</f>
        <v>3.9E-2</v>
      </c>
      <c r="M66" s="279">
        <f>Rounding!M161</f>
        <v>3.9E-2</v>
      </c>
      <c r="N66" s="279">
        <f>Rounding!N161</f>
        <v>3.9E-2</v>
      </c>
      <c r="O66" s="279">
        <f>Rounding!O161</f>
        <v>3.9E-2</v>
      </c>
      <c r="P66" s="279">
        <f>Rounding!P161</f>
        <v>3.9E-2</v>
      </c>
      <c r="Q66" s="279">
        <f>Rounding!Q161</f>
        <v>3.9E-2</v>
      </c>
      <c r="R66" s="279">
        <f>Rounding!R161</f>
        <v>2.1999999999999999E-2</v>
      </c>
      <c r="S66" s="279">
        <f>Rounding!S161</f>
        <v>2.1999999999999999E-2</v>
      </c>
      <c r="T66" s="279">
        <f>Rounding!T161</f>
        <v>2.1999999999999999E-2</v>
      </c>
      <c r="U66" s="279">
        <f>Rounding!U161</f>
        <v>2.1999999999999999E-2</v>
      </c>
      <c r="V66" s="279">
        <f>Rounding!V161</f>
        <v>2.1999999999999999E-2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1.548</v>
      </c>
      <c r="AH66" s="279">
        <f>Rounding!AH161</f>
        <v>-4.1000000000000002E-2</v>
      </c>
      <c r="AI66" s="279">
        <f>Rounding!AI161</f>
        <v>0</v>
      </c>
      <c r="AJ66" s="279">
        <f>Rounding!AJ161</f>
        <v>-4.1000000000000002E-2</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21.61</v>
      </c>
      <c r="K67" s="120">
        <f>Rounding!K162</f>
        <v>0</v>
      </c>
      <c r="L67" s="120">
        <f>Rounding!L162</f>
        <v>6.36</v>
      </c>
      <c r="M67" s="120">
        <f>Rounding!M162</f>
        <v>9.6300000000000008</v>
      </c>
      <c r="N67" s="120">
        <f>Rounding!N162</f>
        <v>25.82</v>
      </c>
      <c r="O67" s="120">
        <f>Rounding!O162</f>
        <v>53.05</v>
      </c>
      <c r="P67" s="120">
        <f>Rounding!P162</f>
        <v>157.07</v>
      </c>
      <c r="Q67" s="120">
        <f>Rounding!Q162</f>
        <v>0</v>
      </c>
      <c r="R67" s="120">
        <f>Rounding!R162</f>
        <v>8.85</v>
      </c>
      <c r="S67" s="120">
        <f>Rounding!S162</f>
        <v>220.16</v>
      </c>
      <c r="T67" s="120">
        <f>Rounding!T162</f>
        <v>427.59</v>
      </c>
      <c r="U67" s="120">
        <f>Rounding!U162</f>
        <v>686.71</v>
      </c>
      <c r="V67" s="120">
        <f>Rounding!V162</f>
        <v>1498.68</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2.4700000000000002</v>
      </c>
      <c r="S68" s="120">
        <f>Rounding!S163</f>
        <v>2.4700000000000002</v>
      </c>
      <c r="T68" s="120">
        <f>Rounding!T163</f>
        <v>2.4700000000000002</v>
      </c>
      <c r="U68" s="120">
        <f>Rounding!U163</f>
        <v>2.4700000000000002</v>
      </c>
      <c r="V68" s="120">
        <f>Rounding!V163</f>
        <v>2.4700000000000002</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5.14</v>
      </c>
      <c r="S69" s="120">
        <f>Rounding!S164</f>
        <v>5.14</v>
      </c>
      <c r="T69" s="120">
        <f>Rounding!T164</f>
        <v>5.14</v>
      </c>
      <c r="U69" s="120">
        <f>Rounding!U164</f>
        <v>5.14</v>
      </c>
      <c r="V69" s="120">
        <f>Rounding!V164</f>
        <v>5.14</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7.1999999999999995E-2</v>
      </c>
      <c r="S70" s="283">
        <f>Rounding!S165</f>
        <v>7.1999999999999995E-2</v>
      </c>
      <c r="T70" s="283">
        <f>Rounding!T165</f>
        <v>7.1999999999999995E-2</v>
      </c>
      <c r="U70" s="283">
        <f>Rounding!U165</f>
        <v>7.1999999999999995E-2</v>
      </c>
      <c r="V70" s="283">
        <f>Rounding!V165</f>
        <v>7.1999999999999995E-2</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0.128</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6.1219999999999999</v>
      </c>
      <c r="K73" s="278">
        <f>Rounding!K168</f>
        <v>6.1219999999999999</v>
      </c>
      <c r="L73" s="278">
        <f>Rounding!L168</f>
        <v>5.548</v>
      </c>
      <c r="M73" s="278">
        <f>Rounding!M168</f>
        <v>5.548</v>
      </c>
      <c r="N73" s="278">
        <f>Rounding!N168</f>
        <v>5.548</v>
      </c>
      <c r="O73" s="278">
        <f>Rounding!O168</f>
        <v>5.548</v>
      </c>
      <c r="P73" s="278">
        <f>Rounding!P168</f>
        <v>5.548</v>
      </c>
      <c r="Q73" s="278">
        <f>Rounding!Q168</f>
        <v>5.548</v>
      </c>
      <c r="R73" s="278">
        <f>Rounding!R168</f>
        <v>3.573</v>
      </c>
      <c r="S73" s="278">
        <f>Rounding!S168</f>
        <v>3.573</v>
      </c>
      <c r="T73" s="278">
        <f>Rounding!T168</f>
        <v>3.573</v>
      </c>
      <c r="U73" s="278">
        <f>Rounding!U168</f>
        <v>3.573</v>
      </c>
      <c r="V73" s="278">
        <f>Rounding!V168</f>
        <v>3.573</v>
      </c>
      <c r="W73" s="278">
        <f>Rounding!W168</f>
        <v>4.585</v>
      </c>
      <c r="X73" s="278">
        <f>Rounding!X168</f>
        <v>4.585</v>
      </c>
      <c r="Y73" s="278">
        <f>Rounding!Y168</f>
        <v>4.585</v>
      </c>
      <c r="Z73" s="278">
        <f>Rounding!Z168</f>
        <v>4.585</v>
      </c>
      <c r="AA73" s="278">
        <f>Rounding!AA168</f>
        <v>4.585</v>
      </c>
      <c r="AB73" s="278">
        <f>Rounding!AB168</f>
        <v>3.984</v>
      </c>
      <c r="AC73" s="278">
        <f>Rounding!AC168</f>
        <v>3.984</v>
      </c>
      <c r="AD73" s="278">
        <f>Rounding!AD168</f>
        <v>3.984</v>
      </c>
      <c r="AE73" s="278">
        <f>Rounding!AE168</f>
        <v>3.984</v>
      </c>
      <c r="AF73" s="278">
        <f>Rounding!AF168</f>
        <v>3.984</v>
      </c>
      <c r="AG73" s="278">
        <f>Rounding!AG168</f>
        <v>16.196000000000002</v>
      </c>
      <c r="AH73" s="278">
        <f>Rounding!AH168</f>
        <v>-8.5660000000000007</v>
      </c>
      <c r="AI73" s="278">
        <f>Rounding!AI168</f>
        <v>-7.7569999999999997</v>
      </c>
      <c r="AJ73" s="278">
        <f>Rounding!AJ168</f>
        <v>-8.5660000000000007</v>
      </c>
      <c r="AK73" s="278">
        <f>Rounding!AK168</f>
        <v>0</v>
      </c>
      <c r="AL73" s="278">
        <f>Rounding!AL168</f>
        <v>-7.7569999999999997</v>
      </c>
      <c r="AM73" s="278">
        <f>Rounding!AM168</f>
        <v>0</v>
      </c>
      <c r="AN73" s="278">
        <f>Rounding!AN168</f>
        <v>-5.2249999999999996</v>
      </c>
      <c r="AO73" s="278">
        <f>Rounding!AO168</f>
        <v>0</v>
      </c>
      <c r="AP73" s="267"/>
      <c r="AQ73" s="267"/>
    </row>
    <row r="74" spans="3:43" x14ac:dyDescent="0.3">
      <c r="C74" s="88"/>
      <c r="F74" t="s">
        <v>157</v>
      </c>
      <c r="G74" s="13" t="s">
        <v>269</v>
      </c>
      <c r="H74" s="279"/>
      <c r="I74" s="267"/>
      <c r="J74" s="279">
        <f>Rounding!J169</f>
        <v>0.308</v>
      </c>
      <c r="K74" s="279">
        <f>Rounding!K169</f>
        <v>0.308</v>
      </c>
      <c r="L74" s="279">
        <f>Rounding!L169</f>
        <v>0.27900000000000003</v>
      </c>
      <c r="M74" s="279">
        <f>Rounding!M169</f>
        <v>0.27900000000000003</v>
      </c>
      <c r="N74" s="279">
        <f>Rounding!N169</f>
        <v>0.27900000000000003</v>
      </c>
      <c r="O74" s="279">
        <f>Rounding!O169</f>
        <v>0.27900000000000003</v>
      </c>
      <c r="P74" s="279">
        <f>Rounding!P169</f>
        <v>0.27900000000000003</v>
      </c>
      <c r="Q74" s="279">
        <f>Rounding!Q169</f>
        <v>0.27900000000000003</v>
      </c>
      <c r="R74" s="279">
        <f>Rounding!R169</f>
        <v>0.16300000000000001</v>
      </c>
      <c r="S74" s="279">
        <f>Rounding!S169</f>
        <v>0.16300000000000001</v>
      </c>
      <c r="T74" s="279">
        <f>Rounding!T169</f>
        <v>0.16300000000000001</v>
      </c>
      <c r="U74" s="279">
        <f>Rounding!U169</f>
        <v>0.16300000000000001</v>
      </c>
      <c r="V74" s="279">
        <f>Rounding!V169</f>
        <v>0.16300000000000001</v>
      </c>
      <c r="W74" s="279">
        <f>Rounding!W169</f>
        <v>0.16500000000000001</v>
      </c>
      <c r="X74" s="279">
        <f>Rounding!X169</f>
        <v>0.16500000000000001</v>
      </c>
      <c r="Y74" s="279">
        <f>Rounding!Y169</f>
        <v>0.16500000000000001</v>
      </c>
      <c r="Z74" s="279">
        <f>Rounding!Z169</f>
        <v>0.16500000000000001</v>
      </c>
      <c r="AA74" s="279">
        <f>Rounding!AA169</f>
        <v>0.16500000000000001</v>
      </c>
      <c r="AB74" s="279">
        <f>Rounding!AB169</f>
        <v>0.109</v>
      </c>
      <c r="AC74" s="279">
        <f>Rounding!AC169</f>
        <v>0.109</v>
      </c>
      <c r="AD74" s="279">
        <f>Rounding!AD169</f>
        <v>0.109</v>
      </c>
      <c r="AE74" s="279">
        <f>Rounding!AE169</f>
        <v>0.109</v>
      </c>
      <c r="AF74" s="279">
        <f>Rounding!AF169</f>
        <v>0.109</v>
      </c>
      <c r="AG74" s="279">
        <f>Rounding!AG169</f>
        <v>1.4530000000000001</v>
      </c>
      <c r="AH74" s="279">
        <f>Rounding!AH169</f>
        <v>-0.43</v>
      </c>
      <c r="AI74" s="279">
        <f>Rounding!AI169</f>
        <v>-0.36699999999999999</v>
      </c>
      <c r="AJ74" s="279">
        <f>Rounding!AJ169</f>
        <v>-0.43</v>
      </c>
      <c r="AK74" s="279">
        <f>Rounding!AK169</f>
        <v>0</v>
      </c>
      <c r="AL74" s="279">
        <f>Rounding!AL169</f>
        <v>-0.36699999999999999</v>
      </c>
      <c r="AM74" s="279">
        <f>Rounding!AM169</f>
        <v>0</v>
      </c>
      <c r="AN74" s="279">
        <f>Rounding!AN169</f>
        <v>-0.17100000000000001</v>
      </c>
      <c r="AO74" s="279">
        <f>Rounding!AO169</f>
        <v>0</v>
      </c>
      <c r="AP74" s="267"/>
      <c r="AQ74" s="267"/>
    </row>
    <row r="75" spans="3:43" x14ac:dyDescent="0.3">
      <c r="C75" s="88"/>
      <c r="F75" t="s">
        <v>158</v>
      </c>
      <c r="G75" s="13" t="s">
        <v>269</v>
      </c>
      <c r="H75" s="279"/>
      <c r="I75" s="267"/>
      <c r="J75" s="279">
        <f>Rounding!J170</f>
        <v>2.9000000000000001E-2</v>
      </c>
      <c r="K75" s="279">
        <f>Rounding!K170</f>
        <v>2.9000000000000001E-2</v>
      </c>
      <c r="L75" s="279">
        <f>Rounding!L170</f>
        <v>2.5999999999999999E-2</v>
      </c>
      <c r="M75" s="279">
        <f>Rounding!M170</f>
        <v>2.5999999999999999E-2</v>
      </c>
      <c r="N75" s="279">
        <f>Rounding!N170</f>
        <v>2.5999999999999999E-2</v>
      </c>
      <c r="O75" s="279">
        <f>Rounding!O170</f>
        <v>2.5999999999999999E-2</v>
      </c>
      <c r="P75" s="279">
        <f>Rounding!P170</f>
        <v>2.5999999999999999E-2</v>
      </c>
      <c r="Q75" s="279">
        <f>Rounding!Q170</f>
        <v>2.5999999999999999E-2</v>
      </c>
      <c r="R75" s="279">
        <f>Rounding!R170</f>
        <v>1.4999999999999999E-2</v>
      </c>
      <c r="S75" s="279">
        <f>Rounding!S170</f>
        <v>1.4999999999999999E-2</v>
      </c>
      <c r="T75" s="279">
        <f>Rounding!T170</f>
        <v>1.4999999999999999E-2</v>
      </c>
      <c r="U75" s="279">
        <f>Rounding!U170</f>
        <v>1.4999999999999999E-2</v>
      </c>
      <c r="V75" s="279">
        <f>Rounding!V170</f>
        <v>1.4999999999999999E-2</v>
      </c>
      <c r="W75" s="279">
        <f>Rounding!W170</f>
        <v>1.4999999999999999E-2</v>
      </c>
      <c r="X75" s="279">
        <f>Rounding!X170</f>
        <v>1.4999999999999999E-2</v>
      </c>
      <c r="Y75" s="279">
        <f>Rounding!Y170</f>
        <v>1.4999999999999999E-2</v>
      </c>
      <c r="Z75" s="279">
        <f>Rounding!Z170</f>
        <v>1.4999999999999999E-2</v>
      </c>
      <c r="AA75" s="279">
        <f>Rounding!AA170</f>
        <v>1.4999999999999999E-2</v>
      </c>
      <c r="AB75" s="279">
        <f>Rounding!AB170</f>
        <v>0.01</v>
      </c>
      <c r="AC75" s="279">
        <f>Rounding!AC170</f>
        <v>0.01</v>
      </c>
      <c r="AD75" s="279">
        <f>Rounding!AD170</f>
        <v>0.01</v>
      </c>
      <c r="AE75" s="279">
        <f>Rounding!AE170</f>
        <v>0.01</v>
      </c>
      <c r="AF75" s="279">
        <f>Rounding!AF170</f>
        <v>0.01</v>
      </c>
      <c r="AG75" s="279">
        <f>Rounding!AG170</f>
        <v>1.0620000000000001</v>
      </c>
      <c r="AH75" s="279">
        <f>Rounding!AH170</f>
        <v>-4.1000000000000002E-2</v>
      </c>
      <c r="AI75" s="279">
        <f>Rounding!AI170</f>
        <v>-3.5000000000000003E-2</v>
      </c>
      <c r="AJ75" s="279">
        <f>Rounding!AJ170</f>
        <v>-4.1000000000000002E-2</v>
      </c>
      <c r="AK75" s="279">
        <f>Rounding!AK170</f>
        <v>0</v>
      </c>
      <c r="AL75" s="279">
        <f>Rounding!AL170</f>
        <v>-3.5000000000000003E-2</v>
      </c>
      <c r="AM75" s="279">
        <f>Rounding!AM170</f>
        <v>0</v>
      </c>
      <c r="AN75" s="279">
        <f>Rounding!AN170</f>
        <v>-1.6E-2</v>
      </c>
      <c r="AO75" s="279">
        <f>Rounding!AO170</f>
        <v>0</v>
      </c>
      <c r="AP75" s="267"/>
      <c r="AQ75" s="267"/>
    </row>
    <row r="76" spans="3:43" x14ac:dyDescent="0.3">
      <c r="C76" s="88"/>
      <c r="F76" t="s">
        <v>159</v>
      </c>
      <c r="G76" s="13" t="s">
        <v>270</v>
      </c>
      <c r="H76" s="51"/>
      <c r="J76" s="120">
        <f>Rounding!J171</f>
        <v>17.86</v>
      </c>
      <c r="K76" s="120">
        <f>Rounding!K171</f>
        <v>0</v>
      </c>
      <c r="L76" s="120">
        <f>Rounding!L171</f>
        <v>4.4000000000000004</v>
      </c>
      <c r="M76" s="120">
        <f>Rounding!M171</f>
        <v>6.64</v>
      </c>
      <c r="N76" s="120">
        <f>Rounding!N171</f>
        <v>17.75</v>
      </c>
      <c r="O76" s="120">
        <f>Rounding!O171</f>
        <v>36.44</v>
      </c>
      <c r="P76" s="120">
        <f>Rounding!P171</f>
        <v>107.85</v>
      </c>
      <c r="Q76" s="120">
        <f>Rounding!Q171</f>
        <v>0</v>
      </c>
      <c r="R76" s="120">
        <f>Rounding!R171</f>
        <v>6.1</v>
      </c>
      <c r="S76" s="120">
        <f>Rounding!S171</f>
        <v>151.16</v>
      </c>
      <c r="T76" s="120">
        <f>Rounding!T171</f>
        <v>293.55</v>
      </c>
      <c r="U76" s="120">
        <f>Rounding!U171</f>
        <v>471.43</v>
      </c>
      <c r="V76" s="120">
        <f>Rounding!V171</f>
        <v>1028.81</v>
      </c>
      <c r="W76" s="120">
        <f>Rounding!W171</f>
        <v>7.82</v>
      </c>
      <c r="X76" s="120">
        <f>Rounding!X171</f>
        <v>246.65</v>
      </c>
      <c r="Y76" s="120">
        <f>Rounding!Y171</f>
        <v>481.1</v>
      </c>
      <c r="Z76" s="120">
        <f>Rounding!Z171</f>
        <v>773.97</v>
      </c>
      <c r="AA76" s="120">
        <f>Rounding!AA171</f>
        <v>1691.7</v>
      </c>
      <c r="AB76" s="120">
        <f>Rounding!AB171</f>
        <v>84.59</v>
      </c>
      <c r="AC76" s="120">
        <f>Rounding!AC171</f>
        <v>1402.57</v>
      </c>
      <c r="AD76" s="120">
        <f>Rounding!AD171</f>
        <v>5030.8100000000004</v>
      </c>
      <c r="AE76" s="120">
        <f>Rounding!AE171</f>
        <v>10515.74</v>
      </c>
      <c r="AF76" s="120">
        <f>Rounding!AF171</f>
        <v>26661.439999999999</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1.69</v>
      </c>
      <c r="S77" s="120">
        <f>Rounding!S172</f>
        <v>1.69</v>
      </c>
      <c r="T77" s="120">
        <f>Rounding!T172</f>
        <v>1.69</v>
      </c>
      <c r="U77" s="120">
        <f>Rounding!U172</f>
        <v>1.69</v>
      </c>
      <c r="V77" s="120">
        <f>Rounding!V172</f>
        <v>1.69</v>
      </c>
      <c r="W77" s="120">
        <f>Rounding!W172</f>
        <v>2.5299999999999998</v>
      </c>
      <c r="X77" s="120">
        <f>Rounding!X172</f>
        <v>2.5299999999999998</v>
      </c>
      <c r="Y77" s="120">
        <f>Rounding!Y172</f>
        <v>2.5299999999999998</v>
      </c>
      <c r="Z77" s="120">
        <f>Rounding!Z172</f>
        <v>2.5299999999999998</v>
      </c>
      <c r="AA77" s="120">
        <f>Rounding!AA172</f>
        <v>2.5299999999999998</v>
      </c>
      <c r="AB77" s="120">
        <f>Rounding!AB172</f>
        <v>2.54</v>
      </c>
      <c r="AC77" s="120">
        <f>Rounding!AC172</f>
        <v>2.54</v>
      </c>
      <c r="AD77" s="120">
        <f>Rounding!AD172</f>
        <v>2.54</v>
      </c>
      <c r="AE77" s="120">
        <f>Rounding!AE172</f>
        <v>2.54</v>
      </c>
      <c r="AF77" s="120">
        <f>Rounding!AF172</f>
        <v>2.54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3.53</v>
      </c>
      <c r="S78" s="120">
        <f>Rounding!S173</f>
        <v>3.53</v>
      </c>
      <c r="T78" s="120">
        <f>Rounding!T173</f>
        <v>3.53</v>
      </c>
      <c r="U78" s="120">
        <f>Rounding!U173</f>
        <v>3.53</v>
      </c>
      <c r="V78" s="120">
        <f>Rounding!V173</f>
        <v>3.53</v>
      </c>
      <c r="W78" s="120">
        <f>Rounding!W173</f>
        <v>4.8099999999999996</v>
      </c>
      <c r="X78" s="120">
        <f>Rounding!X173</f>
        <v>4.8099999999999996</v>
      </c>
      <c r="Y78" s="120">
        <f>Rounding!Y173</f>
        <v>4.8099999999999996</v>
      </c>
      <c r="Z78" s="120">
        <f>Rounding!Z173</f>
        <v>4.8099999999999996</v>
      </c>
      <c r="AA78" s="120">
        <f>Rounding!AA173</f>
        <v>4.8099999999999996</v>
      </c>
      <c r="AB78" s="120">
        <f>Rounding!AB173</f>
        <v>5.62</v>
      </c>
      <c r="AC78" s="120">
        <f>Rounding!AC173</f>
        <v>5.62</v>
      </c>
      <c r="AD78" s="120">
        <f>Rounding!AD173</f>
        <v>5.62</v>
      </c>
      <c r="AE78" s="120">
        <f>Rounding!AE173</f>
        <v>5.62</v>
      </c>
      <c r="AF78" s="120">
        <f>Rounding!AF173</f>
        <v>5.62</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0.05</v>
      </c>
      <c r="S79" s="283">
        <f>Rounding!S174</f>
        <v>0.05</v>
      </c>
      <c r="T79" s="283">
        <f>Rounding!T174</f>
        <v>0.05</v>
      </c>
      <c r="U79" s="283">
        <f>Rounding!U174</f>
        <v>0.05</v>
      </c>
      <c r="V79" s="283">
        <f>Rounding!V174</f>
        <v>0.05</v>
      </c>
      <c r="W79" s="283">
        <f>Rounding!W174</f>
        <v>5.6000000000000001E-2</v>
      </c>
      <c r="X79" s="283">
        <f>Rounding!X174</f>
        <v>5.6000000000000001E-2</v>
      </c>
      <c r="Y79" s="283">
        <f>Rounding!Y174</f>
        <v>5.6000000000000001E-2</v>
      </c>
      <c r="Z79" s="283">
        <f>Rounding!Z174</f>
        <v>5.6000000000000001E-2</v>
      </c>
      <c r="AA79" s="283">
        <f>Rounding!AA174</f>
        <v>5.6000000000000001E-2</v>
      </c>
      <c r="AB79" s="283">
        <f>Rounding!AB174</f>
        <v>4.3999999999999997E-2</v>
      </c>
      <c r="AC79" s="283">
        <f>Rounding!AC174</f>
        <v>4.3999999999999997E-2</v>
      </c>
      <c r="AD79" s="283">
        <f>Rounding!AD174</f>
        <v>4.3999999999999997E-2</v>
      </c>
      <c r="AE79" s="283">
        <f>Rounding!AE174</f>
        <v>4.3999999999999997E-2</v>
      </c>
      <c r="AF79" s="283">
        <f>Rounding!AF174</f>
        <v>4.3999999999999997E-2</v>
      </c>
      <c r="AG79" s="283">
        <f>Rounding!AG174</f>
        <v>0</v>
      </c>
      <c r="AH79" s="283">
        <f>Rounding!AH174</f>
        <v>0</v>
      </c>
      <c r="AI79" s="283">
        <f>Rounding!AI174</f>
        <v>0</v>
      </c>
      <c r="AJ79" s="283">
        <f>Rounding!AJ174</f>
        <v>0.128</v>
      </c>
      <c r="AK79" s="283">
        <f>Rounding!AK174</f>
        <v>0</v>
      </c>
      <c r="AL79" s="283">
        <f>Rounding!AL174</f>
        <v>0.10299999999999999</v>
      </c>
      <c r="AM79" s="283">
        <f>Rounding!AM174</f>
        <v>0</v>
      </c>
      <c r="AN79" s="283">
        <f>Rounding!AN174</f>
        <v>7.9000000000000001E-2</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412459496.8321017</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188019978.70764935</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54190749.917051189</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94439.110999842305</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170154329.09640133</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90013954.542150423</v>
      </c>
      <c r="I95" s="23"/>
      <c r="J95" s="126">
        <f t="shared" ref="J95:AO95" si="1">J22 * thousand * J55 / hundred</f>
        <v>56763907.636122838</v>
      </c>
      <c r="K95" s="126">
        <f t="shared" si="1"/>
        <v>23795.89354024495</v>
      </c>
      <c r="L95" s="126">
        <f t="shared" si="1"/>
        <v>0</v>
      </c>
      <c r="M95" s="126">
        <f t="shared" si="1"/>
        <v>691412.1659177047</v>
      </c>
      <c r="N95" s="126">
        <f t="shared" si="1"/>
        <v>3141757.7567269891</v>
      </c>
      <c r="O95" s="126">
        <f t="shared" si="1"/>
        <v>3153961.3624434378</v>
      </c>
      <c r="P95" s="126">
        <f t="shared" si="1"/>
        <v>10238985.372485895</v>
      </c>
      <c r="Q95" s="126">
        <f t="shared" si="1"/>
        <v>20434.716765270667</v>
      </c>
      <c r="R95" s="126">
        <f t="shared" si="1"/>
        <v>0</v>
      </c>
      <c r="S95" s="126">
        <f t="shared" si="1"/>
        <v>2035415.1850893709</v>
      </c>
      <c r="T95" s="126">
        <f t="shared" si="1"/>
        <v>2436648.6915364582</v>
      </c>
      <c r="U95" s="126">
        <f t="shared" si="1"/>
        <v>1204946.1170131634</v>
      </c>
      <c r="V95" s="126">
        <f t="shared" si="1"/>
        <v>1400073.2129443737</v>
      </c>
      <c r="W95" s="126">
        <f t="shared" si="1"/>
        <v>0</v>
      </c>
      <c r="X95" s="126">
        <f t="shared" si="1"/>
        <v>166874.08902884118</v>
      </c>
      <c r="Y95" s="126">
        <f t="shared" si="1"/>
        <v>460758.90608213336</v>
      </c>
      <c r="Z95" s="126">
        <f t="shared" si="1"/>
        <v>479769.35072539258</v>
      </c>
      <c r="AA95" s="126">
        <f t="shared" si="1"/>
        <v>1848113.5242322313</v>
      </c>
      <c r="AB95" s="126">
        <f t="shared" si="1"/>
        <v>0</v>
      </c>
      <c r="AC95" s="126">
        <f t="shared" si="1"/>
        <v>567084.97523056937</v>
      </c>
      <c r="AD95" s="126">
        <f t="shared" si="1"/>
        <v>1843509.156957184</v>
      </c>
      <c r="AE95" s="126">
        <f t="shared" si="1"/>
        <v>1210631.9494890999</v>
      </c>
      <c r="AF95" s="126">
        <f t="shared" si="1"/>
        <v>3310185.3884812985</v>
      </c>
      <c r="AG95" s="126">
        <f t="shared" si="1"/>
        <v>1208861.0170632992</v>
      </c>
      <c r="AH95" s="126">
        <f t="shared" si="1"/>
        <v>-17854.569233635961</v>
      </c>
      <c r="AI95" s="126">
        <f t="shared" si="1"/>
        <v>0</v>
      </c>
      <c r="AJ95" s="126">
        <f t="shared" si="1"/>
        <v>-331301.82547313115</v>
      </c>
      <c r="AK95" s="126">
        <f t="shared" si="1"/>
        <v>0</v>
      </c>
      <c r="AL95" s="126">
        <f t="shared" si="1"/>
        <v>-78336.122816061106</v>
      </c>
      <c r="AM95" s="126">
        <f t="shared" si="1"/>
        <v>0</v>
      </c>
      <c r="AN95" s="126">
        <f t="shared" si="1"/>
        <v>-1765679.4082025581</v>
      </c>
      <c r="AO95" s="126">
        <f t="shared" si="1"/>
        <v>0</v>
      </c>
    </row>
    <row r="96" spans="2:43" x14ac:dyDescent="0.3">
      <c r="E96" s="28"/>
      <c r="F96" t="s">
        <v>157</v>
      </c>
      <c r="G96" s="13" t="s">
        <v>277</v>
      </c>
      <c r="H96" s="98">
        <f t="shared" si="0"/>
        <v>28712768.246666975</v>
      </c>
      <c r="J96" s="98">
        <f t="shared" ref="J96:AO96" si="2">J23 * thousand * J56 / hundred</f>
        <v>16456097.987612735</v>
      </c>
      <c r="K96" s="98">
        <f t="shared" si="2"/>
        <v>63772.831239161016</v>
      </c>
      <c r="L96" s="98">
        <f t="shared" si="2"/>
        <v>0</v>
      </c>
      <c r="M96" s="98">
        <f t="shared" si="2"/>
        <v>286120.11123488436</v>
      </c>
      <c r="N96" s="98">
        <f t="shared" si="2"/>
        <v>1300121.8710617551</v>
      </c>
      <c r="O96" s="98">
        <f t="shared" si="2"/>
        <v>1305171.9659214867</v>
      </c>
      <c r="P96" s="98">
        <f t="shared" si="2"/>
        <v>4237095.8714902215</v>
      </c>
      <c r="Q96" s="98">
        <f t="shared" si="2"/>
        <v>34761.429706446717</v>
      </c>
      <c r="R96" s="98">
        <f t="shared" si="2"/>
        <v>0</v>
      </c>
      <c r="S96" s="98">
        <f t="shared" si="2"/>
        <v>665743.26128944452</v>
      </c>
      <c r="T96" s="98">
        <f t="shared" si="2"/>
        <v>796978.65005802875</v>
      </c>
      <c r="U96" s="98">
        <f t="shared" si="2"/>
        <v>394113.57618577144</v>
      </c>
      <c r="V96" s="98">
        <f t="shared" si="2"/>
        <v>457935.71437301242</v>
      </c>
      <c r="W96" s="98">
        <f t="shared" si="2"/>
        <v>0</v>
      </c>
      <c r="X96" s="98">
        <f t="shared" si="2"/>
        <v>44338.440334326442</v>
      </c>
      <c r="Y96" s="98">
        <f t="shared" si="2"/>
        <v>122423.62720734521</v>
      </c>
      <c r="Z96" s="98">
        <f t="shared" si="2"/>
        <v>127474.70176571168</v>
      </c>
      <c r="AA96" s="98">
        <f t="shared" si="2"/>
        <v>491043.70667797484</v>
      </c>
      <c r="AB96" s="98">
        <f t="shared" si="2"/>
        <v>0</v>
      </c>
      <c r="AC96" s="98">
        <f t="shared" si="2"/>
        <v>111069.335113989</v>
      </c>
      <c r="AD96" s="98">
        <f t="shared" si="2"/>
        <v>361069.93710516347</v>
      </c>
      <c r="AE96" s="98">
        <f t="shared" si="2"/>
        <v>237114.52704744175</v>
      </c>
      <c r="AF96" s="98">
        <f t="shared" si="2"/>
        <v>648333.32967986586</v>
      </c>
      <c r="AG96" s="98">
        <f t="shared" si="2"/>
        <v>1247763.2139786419</v>
      </c>
      <c r="AH96" s="98">
        <f t="shared" si="2"/>
        <v>-9116.4175885119712</v>
      </c>
      <c r="AI96" s="98">
        <f t="shared" si="2"/>
        <v>0</v>
      </c>
      <c r="AJ96" s="98">
        <f t="shared" si="2"/>
        <v>-145508.14456053276</v>
      </c>
      <c r="AK96" s="98">
        <f t="shared" si="2"/>
        <v>0</v>
      </c>
      <c r="AL96" s="98">
        <f t="shared" si="2"/>
        <v>-31016.705932412624</v>
      </c>
      <c r="AM96" s="98">
        <f t="shared" si="2"/>
        <v>0</v>
      </c>
      <c r="AN96" s="98">
        <f t="shared" si="2"/>
        <v>-490134.57433496485</v>
      </c>
      <c r="AO96" s="98">
        <f t="shared" si="2"/>
        <v>0</v>
      </c>
    </row>
    <row r="97" spans="5:41" x14ac:dyDescent="0.3">
      <c r="E97" s="28"/>
      <c r="F97" t="s">
        <v>158</v>
      </c>
      <c r="G97" s="13" t="s">
        <v>277</v>
      </c>
      <c r="H97" s="98">
        <f t="shared" si="0"/>
        <v>4624109.0744533557</v>
      </c>
      <c r="J97" s="98">
        <f t="shared" ref="J97:AO97" si="3">J24 * thousand * J57 / hundred</f>
        <v>1777408.9918589354</v>
      </c>
      <c r="K97" s="98">
        <f t="shared" si="3"/>
        <v>19899.417474396851</v>
      </c>
      <c r="L97" s="98">
        <f t="shared" si="3"/>
        <v>0</v>
      </c>
      <c r="M97" s="98">
        <f t="shared" si="3"/>
        <v>21628.45183112318</v>
      </c>
      <c r="N97" s="98">
        <f t="shared" si="3"/>
        <v>98279.086854417939</v>
      </c>
      <c r="O97" s="98">
        <f t="shared" si="3"/>
        <v>98660.834690824442</v>
      </c>
      <c r="P97" s="98">
        <f t="shared" si="3"/>
        <v>320291.44531243981</v>
      </c>
      <c r="Q97" s="98">
        <f t="shared" si="3"/>
        <v>7250.3627448018478</v>
      </c>
      <c r="R97" s="98">
        <f t="shared" si="3"/>
        <v>0</v>
      </c>
      <c r="S97" s="98">
        <f t="shared" si="3"/>
        <v>53550.298514457347</v>
      </c>
      <c r="T97" s="98">
        <f t="shared" si="3"/>
        <v>64106.461307013386</v>
      </c>
      <c r="U97" s="98">
        <f t="shared" si="3"/>
        <v>31701.259149768004</v>
      </c>
      <c r="V97" s="98">
        <f t="shared" si="3"/>
        <v>36834.911640877166</v>
      </c>
      <c r="W97" s="98">
        <f t="shared" si="3"/>
        <v>0</v>
      </c>
      <c r="X97" s="98">
        <f t="shared" si="3"/>
        <v>4008.747432040519</v>
      </c>
      <c r="Y97" s="98">
        <f t="shared" si="3"/>
        <v>11068.621211932543</v>
      </c>
      <c r="Z97" s="98">
        <f t="shared" si="3"/>
        <v>11525.301284849329</v>
      </c>
      <c r="AA97" s="98">
        <f t="shared" si="3"/>
        <v>44396.469143300405</v>
      </c>
      <c r="AB97" s="98">
        <f t="shared" si="3"/>
        <v>0</v>
      </c>
      <c r="AC97" s="98">
        <f t="shared" si="3"/>
        <v>11247.099813226647</v>
      </c>
      <c r="AD97" s="98">
        <f t="shared" si="3"/>
        <v>36562.653571388539</v>
      </c>
      <c r="AE97" s="98">
        <f t="shared" si="3"/>
        <v>24010.684408362151</v>
      </c>
      <c r="AF97" s="98">
        <f t="shared" si="3"/>
        <v>65651.510956354221</v>
      </c>
      <c r="AG97" s="98">
        <f t="shared" si="3"/>
        <v>1938781.1022795888</v>
      </c>
      <c r="AH97" s="98">
        <f t="shared" si="3"/>
        <v>-370.82783917840243</v>
      </c>
      <c r="AI97" s="98">
        <f t="shared" si="3"/>
        <v>0</v>
      </c>
      <c r="AJ97" s="98">
        <f t="shared" si="3"/>
        <v>-11805.264759433554</v>
      </c>
      <c r="AK97" s="98">
        <f t="shared" si="3"/>
        <v>0</v>
      </c>
      <c r="AL97" s="98">
        <f t="shared" si="3"/>
        <v>-2917.9808993859151</v>
      </c>
      <c r="AM97" s="98">
        <f t="shared" si="3"/>
        <v>0</v>
      </c>
      <c r="AN97" s="98">
        <f t="shared" si="3"/>
        <v>-37660.563528745479</v>
      </c>
      <c r="AO97" s="98">
        <f t="shared" si="3"/>
        <v>0</v>
      </c>
    </row>
    <row r="98" spans="5:41" x14ac:dyDescent="0.3">
      <c r="E98" s="28"/>
      <c r="F98" s="23" t="s">
        <v>159</v>
      </c>
      <c r="G98" s="85" t="s">
        <v>277</v>
      </c>
      <c r="H98" s="126">
        <f t="shared" si="0"/>
        <v>255493809.25003132</v>
      </c>
      <c r="I98" s="23"/>
      <c r="J98" s="126">
        <f t="shared" ref="J98:AO98" si="4" xml:space="preserve"> J25 * J58 * days_in_year / hundred</f>
        <v>157726433.38578916</v>
      </c>
      <c r="K98" s="126">
        <f t="shared" si="4"/>
        <v>0</v>
      </c>
      <c r="L98" s="126">
        <f t="shared" si="4"/>
        <v>0</v>
      </c>
      <c r="M98" s="126">
        <f t="shared" si="4"/>
        <v>3557734.7651850688</v>
      </c>
      <c r="N98" s="126">
        <f t="shared" si="4"/>
        <v>7292290.436824386</v>
      </c>
      <c r="O98" s="126">
        <f t="shared" si="4"/>
        <v>6272664.9094527718</v>
      </c>
      <c r="P98" s="126">
        <f t="shared" si="4"/>
        <v>18685239.580324475</v>
      </c>
      <c r="Q98" s="126">
        <f t="shared" si="4"/>
        <v>0</v>
      </c>
      <c r="R98" s="126">
        <f t="shared" si="4"/>
        <v>0</v>
      </c>
      <c r="S98" s="126">
        <f t="shared" si="4"/>
        <v>5406914.3639784297</v>
      </c>
      <c r="T98" s="126">
        <f t="shared" si="4"/>
        <v>6603844.1115721306</v>
      </c>
      <c r="U98" s="126">
        <f t="shared" si="4"/>
        <v>3455678.3972386546</v>
      </c>
      <c r="V98" s="126">
        <f t="shared" si="4"/>
        <v>4751165.898048942</v>
      </c>
      <c r="W98" s="126">
        <f t="shared" si="4"/>
        <v>0</v>
      </c>
      <c r="X98" s="126">
        <f t="shared" si="4"/>
        <v>419082.26302599278</v>
      </c>
      <c r="Y98" s="126">
        <f t="shared" si="4"/>
        <v>1138195.2489500146</v>
      </c>
      <c r="Z98" s="126">
        <f t="shared" si="4"/>
        <v>1210396.0419796186</v>
      </c>
      <c r="AA98" s="126">
        <f t="shared" si="4"/>
        <v>5053950.4263106426</v>
      </c>
      <c r="AB98" s="126">
        <f t="shared" si="4"/>
        <v>0</v>
      </c>
      <c r="AC98" s="126">
        <f t="shared" si="4"/>
        <v>2910406.9125324748</v>
      </c>
      <c r="AD98" s="126">
        <f t="shared" si="4"/>
        <v>9042774.7195390277</v>
      </c>
      <c r="AE98" s="126">
        <f t="shared" si="4"/>
        <v>5885889.1008163188</v>
      </c>
      <c r="AF98" s="126">
        <f t="shared" si="4"/>
        <v>16014925.973416632</v>
      </c>
      <c r="AG98" s="126">
        <f t="shared" si="4"/>
        <v>0</v>
      </c>
      <c r="AH98" s="126">
        <f t="shared" si="4"/>
        <v>0</v>
      </c>
      <c r="AI98" s="126">
        <f t="shared" si="4"/>
        <v>0</v>
      </c>
      <c r="AJ98" s="126">
        <f t="shared" si="4"/>
        <v>0</v>
      </c>
      <c r="AK98" s="126">
        <f t="shared" si="4"/>
        <v>0</v>
      </c>
      <c r="AL98" s="126">
        <f t="shared" si="4"/>
        <v>0</v>
      </c>
      <c r="AM98" s="126">
        <f t="shared" si="4"/>
        <v>0</v>
      </c>
      <c r="AN98" s="126">
        <f t="shared" si="4"/>
        <v>66222.715046702942</v>
      </c>
      <c r="AO98" s="126">
        <f t="shared" si="4"/>
        <v>0</v>
      </c>
    </row>
    <row r="99" spans="5:41" x14ac:dyDescent="0.3">
      <c r="E99" s="28"/>
      <c r="F99" t="s">
        <v>160</v>
      </c>
      <c r="G99" s="13" t="s">
        <v>277</v>
      </c>
      <c r="H99" s="98">
        <f t="shared" si="0"/>
        <v>26666158.99143834</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2325079.5300317816</v>
      </c>
      <c r="T99" s="98">
        <f t="shared" si="5"/>
        <v>4024319.1449623965</v>
      </c>
      <c r="U99" s="98">
        <f t="shared" si="5"/>
        <v>2142182.8952441528</v>
      </c>
      <c r="V99" s="98">
        <f t="shared" si="5"/>
        <v>2492370.2917616703</v>
      </c>
      <c r="W99" s="98">
        <f t="shared" si="5"/>
        <v>0</v>
      </c>
      <c r="X99" s="98">
        <f t="shared" si="5"/>
        <v>227289.52327609446</v>
      </c>
      <c r="Y99" s="98">
        <f t="shared" si="5"/>
        <v>787187.51374353038</v>
      </c>
      <c r="Z99" s="98">
        <f t="shared" si="5"/>
        <v>829126.08631172683</v>
      </c>
      <c r="AA99" s="98">
        <f t="shared" si="5"/>
        <v>3272610.6964182029</v>
      </c>
      <c r="AB99" s="98">
        <f t="shared" si="5"/>
        <v>0</v>
      </c>
      <c r="AC99" s="98">
        <f t="shared" si="5"/>
        <v>941026.49905093154</v>
      </c>
      <c r="AD99" s="98">
        <f t="shared" si="5"/>
        <v>2971022.4644302442</v>
      </c>
      <c r="AE99" s="98">
        <f t="shared" si="5"/>
        <v>1879122.5738779942</v>
      </c>
      <c r="AF99" s="98">
        <f t="shared" si="5"/>
        <v>4774821.7723296164</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774307.64567575068</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116521.42025225038</v>
      </c>
      <c r="T100" s="98">
        <f t="shared" si="6"/>
        <v>201678.85711545125</v>
      </c>
      <c r="U100" s="98">
        <f t="shared" si="6"/>
        <v>107355.55071121134</v>
      </c>
      <c r="V100" s="98">
        <f t="shared" si="6"/>
        <v>124905.20106493549</v>
      </c>
      <c r="W100" s="98">
        <f t="shared" si="6"/>
        <v>0</v>
      </c>
      <c r="X100" s="98">
        <f t="shared" si="6"/>
        <v>6177.8663185475498</v>
      </c>
      <c r="Y100" s="98">
        <f t="shared" si="6"/>
        <v>21396.231367998258</v>
      </c>
      <c r="Z100" s="98">
        <f t="shared" si="6"/>
        <v>22536.147063110606</v>
      </c>
      <c r="AA100" s="98">
        <f t="shared" si="6"/>
        <v>88951.532405483682</v>
      </c>
      <c r="AB100" s="98">
        <f t="shared" si="6"/>
        <v>0</v>
      </c>
      <c r="AC100" s="98">
        <f t="shared" si="6"/>
        <v>7551.0913392448538</v>
      </c>
      <c r="AD100" s="98">
        <f t="shared" si="6"/>
        <v>23840.414719975801</v>
      </c>
      <c r="AE100" s="98">
        <f t="shared" si="6"/>
        <v>15078.668036766561</v>
      </c>
      <c r="AF100" s="98">
        <f t="shared" si="6"/>
        <v>38314.665280774956</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284439.08111022168</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42842.79912585453</v>
      </c>
      <c r="T101" s="126">
        <f t="shared" si="7"/>
        <v>51288.234064731652</v>
      </c>
      <c r="U101" s="126">
        <f t="shared" si="7"/>
        <v>25362.523001127505</v>
      </c>
      <c r="V101" s="126">
        <f t="shared" si="7"/>
        <v>29469.690441084047</v>
      </c>
      <c r="W101" s="126">
        <f t="shared" si="7"/>
        <v>0</v>
      </c>
      <c r="X101" s="126">
        <f t="shared" si="7"/>
        <v>2880.1179649498158</v>
      </c>
      <c r="Y101" s="126">
        <f t="shared" si="7"/>
        <v>7952.3430548191482</v>
      </c>
      <c r="Z101" s="126">
        <f t="shared" si="7"/>
        <v>8280.448655019738</v>
      </c>
      <c r="AA101" s="126">
        <f t="shared" si="7"/>
        <v>31897.012851935448</v>
      </c>
      <c r="AB101" s="126">
        <f t="shared" si="7"/>
        <v>0</v>
      </c>
      <c r="AC101" s="126">
        <f t="shared" si="7"/>
        <v>5532.2253824563568</v>
      </c>
      <c r="AD101" s="126">
        <f t="shared" si="7"/>
        <v>17984.444300896168</v>
      </c>
      <c r="AE101" s="126">
        <f t="shared" si="7"/>
        <v>11810.379559171201</v>
      </c>
      <c r="AF101" s="126">
        <f t="shared" si="7"/>
        <v>32292.676453553893</v>
      </c>
      <c r="AG101" s="126">
        <f t="shared" si="7"/>
        <v>0</v>
      </c>
      <c r="AH101" s="126">
        <f t="shared" si="7"/>
        <v>0</v>
      </c>
      <c r="AI101" s="126">
        <f t="shared" si="7"/>
        <v>0</v>
      </c>
      <c r="AJ101" s="126">
        <f t="shared" si="7"/>
        <v>7501.2394166939903</v>
      </c>
      <c r="AK101" s="126">
        <f t="shared" si="7"/>
        <v>0</v>
      </c>
      <c r="AL101" s="126">
        <f t="shared" si="7"/>
        <v>2038.7587926476647</v>
      </c>
      <c r="AM101" s="126">
        <f t="shared" si="7"/>
        <v>0</v>
      </c>
      <c r="AN101" s="126">
        <f t="shared" si="7"/>
        <v>7306.1880452805417</v>
      </c>
      <c r="AO101" s="126">
        <f t="shared" si="7"/>
        <v>0</v>
      </c>
    </row>
    <row r="102" spans="5:41" x14ac:dyDescent="0.3">
      <c r="E102" s="28"/>
      <c r="F102" s="108" t="s">
        <v>100</v>
      </c>
      <c r="G102" s="214" t="s">
        <v>277</v>
      </c>
      <c r="H102" s="153">
        <f>SUM(H95:H101)</f>
        <v>406569546.83152646</v>
      </c>
      <c r="I102" s="54"/>
      <c r="J102" s="153">
        <f t="shared" ref="J102" si="8">SUM(J95:J101)</f>
        <v>232723848.00138366</v>
      </c>
      <c r="K102" s="153">
        <f t="shared" ref="K102:AO102" si="9">SUM(K95:K101)</f>
        <v>107468.14225380281</v>
      </c>
      <c r="L102" s="153">
        <f t="shared" si="9"/>
        <v>0</v>
      </c>
      <c r="M102" s="153">
        <f t="shared" si="9"/>
        <v>4556895.4941687807</v>
      </c>
      <c r="N102" s="153">
        <f t="shared" si="9"/>
        <v>11832449.151467547</v>
      </c>
      <c r="O102" s="153">
        <f t="shared" si="9"/>
        <v>10830459.072508521</v>
      </c>
      <c r="P102" s="153">
        <f t="shared" si="9"/>
        <v>33481612.269613031</v>
      </c>
      <c r="Q102" s="153">
        <f t="shared" si="9"/>
        <v>62446.509216519225</v>
      </c>
      <c r="R102" s="153">
        <f t="shared" si="9"/>
        <v>0</v>
      </c>
      <c r="S102" s="153">
        <f t="shared" si="9"/>
        <v>10646066.858281588</v>
      </c>
      <c r="T102" s="153">
        <f t="shared" si="9"/>
        <v>14178864.15061621</v>
      </c>
      <c r="U102" s="153">
        <f t="shared" si="9"/>
        <v>7361340.3185438495</v>
      </c>
      <c r="V102" s="153">
        <f t="shared" si="9"/>
        <v>9292754.9202748928</v>
      </c>
      <c r="W102" s="153">
        <f t="shared" si="9"/>
        <v>0</v>
      </c>
      <c r="X102" s="153">
        <f t="shared" si="9"/>
        <v>870651.04738079268</v>
      </c>
      <c r="Y102" s="153">
        <f t="shared" si="9"/>
        <v>2548982.4916177732</v>
      </c>
      <c r="Z102" s="153">
        <f t="shared" si="9"/>
        <v>2689108.0777854291</v>
      </c>
      <c r="AA102" s="153">
        <f t="shared" si="9"/>
        <v>10830963.368039772</v>
      </c>
      <c r="AB102" s="153">
        <f t="shared" si="9"/>
        <v>0</v>
      </c>
      <c r="AC102" s="153">
        <f t="shared" si="9"/>
        <v>4553918.1384628927</v>
      </c>
      <c r="AD102" s="153">
        <f t="shared" si="9"/>
        <v>14296763.790623881</v>
      </c>
      <c r="AE102" s="153">
        <f t="shared" si="9"/>
        <v>9263657.8832351547</v>
      </c>
      <c r="AF102" s="153">
        <f t="shared" si="9"/>
        <v>24884525.316598095</v>
      </c>
      <c r="AG102" s="153">
        <f t="shared" si="9"/>
        <v>4395405.3333215294</v>
      </c>
      <c r="AH102" s="153">
        <f t="shared" si="9"/>
        <v>-27341.814661326338</v>
      </c>
      <c r="AI102" s="153">
        <f t="shared" si="9"/>
        <v>0</v>
      </c>
      <c r="AJ102" s="153">
        <f t="shared" si="9"/>
        <v>-481113.9953764035</v>
      </c>
      <c r="AK102" s="153">
        <f t="shared" si="9"/>
        <v>0</v>
      </c>
      <c r="AL102" s="153">
        <f t="shared" si="9"/>
        <v>-110232.05085521197</v>
      </c>
      <c r="AM102" s="153">
        <f t="shared" si="9"/>
        <v>0</v>
      </c>
      <c r="AN102" s="153">
        <f t="shared" si="9"/>
        <v>-2219945.6429742849</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255014.54502604794</v>
      </c>
      <c r="I105" s="23"/>
      <c r="J105" s="126">
        <f t="shared" ref="J105:AO105" si="11">J33 * thousand * J64 / hundred</f>
        <v>237441.37112476185</v>
      </c>
      <c r="K105" s="126">
        <f t="shared" si="11"/>
        <v>0</v>
      </c>
      <c r="L105" s="126">
        <f t="shared" si="11"/>
        <v>0</v>
      </c>
      <c r="M105" s="126">
        <f t="shared" si="11"/>
        <v>325.46967095066435</v>
      </c>
      <c r="N105" s="126">
        <f t="shared" si="11"/>
        <v>1478.925181959178</v>
      </c>
      <c r="O105" s="126">
        <f t="shared" si="11"/>
        <v>1484.669806848259</v>
      </c>
      <c r="P105" s="126">
        <f t="shared" si="11"/>
        <v>4819.8156820519389</v>
      </c>
      <c r="Q105" s="126">
        <f t="shared" si="11"/>
        <v>0</v>
      </c>
      <c r="R105" s="126">
        <f t="shared" si="11"/>
        <v>0</v>
      </c>
      <c r="S105" s="126">
        <f t="shared" si="11"/>
        <v>2754.3340787197612</v>
      </c>
      <c r="T105" s="126">
        <f t="shared" si="11"/>
        <v>3297.2852802373595</v>
      </c>
      <c r="U105" s="126">
        <f t="shared" si="11"/>
        <v>1630.5391535951828</v>
      </c>
      <c r="V105" s="126">
        <f t="shared" si="11"/>
        <v>1894.5861224603359</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325.01112198548589</v>
      </c>
      <c r="AH105" s="126">
        <f t="shared" si="11"/>
        <v>-437.46219752206076</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72415.194874860012</v>
      </c>
      <c r="J106" s="98">
        <f t="shared" ref="J106:AO106" si="12">J34 * thousand * J65 / hundred</f>
        <v>64445.222596016254</v>
      </c>
      <c r="K106" s="98">
        <f t="shared" si="12"/>
        <v>0</v>
      </c>
      <c r="L106" s="98">
        <f t="shared" si="12"/>
        <v>0</v>
      </c>
      <c r="M106" s="98">
        <f t="shared" si="12"/>
        <v>141.36859698561341</v>
      </c>
      <c r="N106" s="98">
        <f t="shared" si="12"/>
        <v>642.37499429540969</v>
      </c>
      <c r="O106" s="98">
        <f t="shared" si="12"/>
        <v>644.87018703765784</v>
      </c>
      <c r="P106" s="98">
        <f t="shared" si="12"/>
        <v>2093.4994609811856</v>
      </c>
      <c r="Q106" s="98">
        <f t="shared" si="12"/>
        <v>0</v>
      </c>
      <c r="R106" s="98">
        <f t="shared" si="12"/>
        <v>0</v>
      </c>
      <c r="S106" s="98">
        <f t="shared" si="12"/>
        <v>884.66554014440715</v>
      </c>
      <c r="T106" s="98">
        <f t="shared" si="12"/>
        <v>1059.0562292309985</v>
      </c>
      <c r="U106" s="98">
        <f t="shared" si="12"/>
        <v>523.71344935483103</v>
      </c>
      <c r="V106" s="98">
        <f t="shared" si="12"/>
        <v>608.52278898408906</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1561.2382946779821</v>
      </c>
      <c r="AH106" s="98">
        <f t="shared" si="12"/>
        <v>-189.33726284840205</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8425.2742705578912</v>
      </c>
      <c r="J107" s="98">
        <f t="shared" ref="J107:AO107" si="13">J35 * thousand * J66 / hundred</f>
        <v>6446.0304639608457</v>
      </c>
      <c r="K107" s="98">
        <f t="shared" si="13"/>
        <v>0</v>
      </c>
      <c r="L107" s="98">
        <f t="shared" si="13"/>
        <v>0</v>
      </c>
      <c r="M107" s="98">
        <f t="shared" si="13"/>
        <v>9.3560849287457302</v>
      </c>
      <c r="N107" s="98">
        <f t="shared" si="13"/>
        <v>42.513791116863366</v>
      </c>
      <c r="O107" s="98">
        <f t="shared" si="13"/>
        <v>42.678928464958005</v>
      </c>
      <c r="P107" s="98">
        <f t="shared" si="13"/>
        <v>138.55240253404145</v>
      </c>
      <c r="Q107" s="98">
        <f t="shared" si="13"/>
        <v>0</v>
      </c>
      <c r="R107" s="98">
        <f t="shared" si="13"/>
        <v>0</v>
      </c>
      <c r="S107" s="98">
        <f t="shared" si="13"/>
        <v>83.530144488227009</v>
      </c>
      <c r="T107" s="98">
        <f t="shared" si="13"/>
        <v>99.996118119828665</v>
      </c>
      <c r="U107" s="98">
        <f t="shared" si="13"/>
        <v>49.449038207022276</v>
      </c>
      <c r="V107" s="98">
        <f t="shared" si="13"/>
        <v>57.456738373603514</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1463.3607358525137</v>
      </c>
      <c r="AH107" s="98">
        <f t="shared" si="13"/>
        <v>-7.6501754887595874</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987785.75818340934</v>
      </c>
      <c r="I108" s="23"/>
      <c r="J108" s="126">
        <f t="shared" ref="J108:AO108" si="14" xml:space="preserve"> J36 * J67 * days_in_year / hundred</f>
        <v>898833.35775555461</v>
      </c>
      <c r="K108" s="126">
        <f t="shared" si="14"/>
        <v>0</v>
      </c>
      <c r="L108" s="126">
        <f t="shared" si="14"/>
        <v>0</v>
      </c>
      <c r="M108" s="126">
        <f t="shared" si="14"/>
        <v>3610.9056952074957</v>
      </c>
      <c r="N108" s="126">
        <f t="shared" si="14"/>
        <v>7380.2810202829178</v>
      </c>
      <c r="O108" s="126">
        <f t="shared" si="14"/>
        <v>6344.2347046817831</v>
      </c>
      <c r="P108" s="126">
        <f t="shared" si="14"/>
        <v>18890.431539509671</v>
      </c>
      <c r="Q108" s="126">
        <f t="shared" si="14"/>
        <v>0</v>
      </c>
      <c r="R108" s="126">
        <f t="shared" si="14"/>
        <v>0</v>
      </c>
      <c r="S108" s="126">
        <f t="shared" si="14"/>
        <v>14102.232813269533</v>
      </c>
      <c r="T108" s="126">
        <f t="shared" si="14"/>
        <v>17222.339476083984</v>
      </c>
      <c r="U108" s="126">
        <f t="shared" si="14"/>
        <v>9011.9957289378726</v>
      </c>
      <c r="V108" s="126">
        <f t="shared" si="14"/>
        <v>12389.979449881466</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31679.477777077951</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6705.9020493712242</v>
      </c>
      <c r="T109" s="98">
        <f t="shared" si="15"/>
        <v>11606.781468313171</v>
      </c>
      <c r="U109" s="98">
        <f t="shared" si="15"/>
        <v>6178.3988383181822</v>
      </c>
      <c r="V109" s="98">
        <f t="shared" si="15"/>
        <v>7188.3954210753736</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581.3936738146092</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123.06923290086088</v>
      </c>
      <c r="T110" s="98">
        <f t="shared" si="16"/>
        <v>213.01201258780191</v>
      </c>
      <c r="U110" s="98">
        <f t="shared" si="16"/>
        <v>113.38829586076112</v>
      </c>
      <c r="V110" s="98">
        <f t="shared" si="16"/>
        <v>131.92413246518532</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304.33375833455432</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87.528369381504447</v>
      </c>
      <c r="T111" s="126">
        <f t="shared" si="17"/>
        <v>104.78249758974756</v>
      </c>
      <c r="U111" s="126">
        <f t="shared" si="17"/>
        <v>51.815948700464681</v>
      </c>
      <c r="V111" s="126">
        <f t="shared" si="17"/>
        <v>60.206942662837662</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1356205.9775641025</v>
      </c>
      <c r="I112" s="108"/>
      <c r="J112" s="153">
        <f t="shared" ref="J112" si="18">SUM(J105:J111)</f>
        <v>1207165.9819402937</v>
      </c>
      <c r="K112" s="153">
        <f t="shared" ref="K112:AO112" si="19">SUM(K105:K111)</f>
        <v>0</v>
      </c>
      <c r="L112" s="153">
        <f t="shared" si="19"/>
        <v>0</v>
      </c>
      <c r="M112" s="153">
        <f t="shared" si="19"/>
        <v>4087.1000480725193</v>
      </c>
      <c r="N112" s="153">
        <f t="shared" si="19"/>
        <v>9544.0949876543691</v>
      </c>
      <c r="O112" s="153">
        <f t="shared" si="19"/>
        <v>8516.4536270326571</v>
      </c>
      <c r="P112" s="153">
        <f t="shared" si="19"/>
        <v>25942.299085076836</v>
      </c>
      <c r="Q112" s="153">
        <f t="shared" si="19"/>
        <v>0</v>
      </c>
      <c r="R112" s="153">
        <f t="shared" si="19"/>
        <v>0</v>
      </c>
      <c r="S112" s="153">
        <f t="shared" si="19"/>
        <v>24741.262228275515</v>
      </c>
      <c r="T112" s="153">
        <f t="shared" si="19"/>
        <v>33603.25308216289</v>
      </c>
      <c r="U112" s="153">
        <f t="shared" si="19"/>
        <v>17559.300452974316</v>
      </c>
      <c r="V112" s="153">
        <f t="shared" si="19"/>
        <v>22331.071595902889</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3349.610152515982</v>
      </c>
      <c r="AH112" s="153">
        <f t="shared" si="19"/>
        <v>-634.44963585922244</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827297.160857499</v>
      </c>
      <c r="I115" s="23"/>
      <c r="J115" s="126">
        <f t="shared" ref="J115:AO115" si="21">J44 * thousand * J73 / hundred</f>
        <v>478353.83147236845</v>
      </c>
      <c r="K115" s="126">
        <f t="shared" si="21"/>
        <v>0</v>
      </c>
      <c r="L115" s="126">
        <f t="shared" si="21"/>
        <v>0</v>
      </c>
      <c r="M115" s="126">
        <f t="shared" si="21"/>
        <v>2241.3060456269568</v>
      </c>
      <c r="N115" s="126">
        <f t="shared" si="21"/>
        <v>10184.432674396588</v>
      </c>
      <c r="O115" s="126">
        <f t="shared" si="21"/>
        <v>10223.992312798986</v>
      </c>
      <c r="P115" s="126">
        <f t="shared" si="21"/>
        <v>33191.055853029473</v>
      </c>
      <c r="Q115" s="126">
        <f t="shared" si="21"/>
        <v>0</v>
      </c>
      <c r="R115" s="126">
        <f t="shared" si="21"/>
        <v>0</v>
      </c>
      <c r="S115" s="126">
        <f t="shared" si="21"/>
        <v>57550.471728069337</v>
      </c>
      <c r="T115" s="126">
        <f t="shared" si="21"/>
        <v>68895.173162102976</v>
      </c>
      <c r="U115" s="126">
        <f t="shared" si="21"/>
        <v>34069.323030017673</v>
      </c>
      <c r="V115" s="126">
        <f t="shared" si="21"/>
        <v>39586.456094580295</v>
      </c>
      <c r="W115" s="126">
        <f t="shared" si="21"/>
        <v>0</v>
      </c>
      <c r="X115" s="126">
        <f t="shared" si="21"/>
        <v>1367.4475602672744</v>
      </c>
      <c r="Y115" s="126">
        <f t="shared" si="21"/>
        <v>3775.6828855828917</v>
      </c>
      <c r="Z115" s="126">
        <f t="shared" si="21"/>
        <v>3931.4637278832674</v>
      </c>
      <c r="AA115" s="126">
        <f t="shared" si="21"/>
        <v>15144.342327295271</v>
      </c>
      <c r="AB115" s="126">
        <f t="shared" si="21"/>
        <v>0</v>
      </c>
      <c r="AC115" s="126">
        <f t="shared" si="21"/>
        <v>5631.4404344906216</v>
      </c>
      <c r="AD115" s="126">
        <f t="shared" si="21"/>
        <v>18306.977721674561</v>
      </c>
      <c r="AE115" s="126">
        <f t="shared" si="21"/>
        <v>12022.187166689044</v>
      </c>
      <c r="AF115" s="126">
        <f t="shared" si="21"/>
        <v>32871.814025357307</v>
      </c>
      <c r="AG115" s="126">
        <f t="shared" si="21"/>
        <v>762.95021548782199</v>
      </c>
      <c r="AH115" s="126">
        <f t="shared" si="21"/>
        <v>0</v>
      </c>
      <c r="AI115" s="126">
        <f t="shared" si="21"/>
        <v>0</v>
      </c>
      <c r="AJ115" s="126">
        <f t="shared" si="21"/>
        <v>-798.14292158027365</v>
      </c>
      <c r="AK115" s="126">
        <f t="shared" si="21"/>
        <v>0</v>
      </c>
      <c r="AL115" s="126">
        <f t="shared" si="21"/>
        <v>0</v>
      </c>
      <c r="AM115" s="126">
        <f t="shared" si="21"/>
        <v>0</v>
      </c>
      <c r="AN115" s="126">
        <f t="shared" si="21"/>
        <v>-15.044658639454035</v>
      </c>
      <c r="AO115" s="126">
        <f t="shared" si="21"/>
        <v>0</v>
      </c>
    </row>
    <row r="116" spans="3:43" x14ac:dyDescent="0.3">
      <c r="C116" s="88"/>
      <c r="F116" t="s">
        <v>157</v>
      </c>
      <c r="G116" s="13" t="s">
        <v>277</v>
      </c>
      <c r="H116" s="98">
        <f t="shared" si="20"/>
        <v>232854.37944683677</v>
      </c>
      <c r="J116" s="98">
        <f t="shared" ref="J116:AO116" si="22">J45 * thousand * J74 / hundred</f>
        <v>129743.19533116974</v>
      </c>
      <c r="K116" s="98">
        <f t="shared" si="22"/>
        <v>0</v>
      </c>
      <c r="L116" s="98">
        <f t="shared" si="22"/>
        <v>0</v>
      </c>
      <c r="M116" s="98">
        <f t="shared" si="22"/>
        <v>852.75656542763204</v>
      </c>
      <c r="N116" s="98">
        <f t="shared" si="22"/>
        <v>3874.90224514073</v>
      </c>
      <c r="O116" s="98">
        <f t="shared" si="22"/>
        <v>3889.9536217429613</v>
      </c>
      <c r="P116" s="98">
        <f t="shared" si="22"/>
        <v>12628.302523597895</v>
      </c>
      <c r="Q116" s="98">
        <f t="shared" si="22"/>
        <v>0</v>
      </c>
      <c r="R116" s="98">
        <f t="shared" si="22"/>
        <v>0</v>
      </c>
      <c r="S116" s="98">
        <f t="shared" si="22"/>
        <v>16990.848778398395</v>
      </c>
      <c r="T116" s="98">
        <f t="shared" si="22"/>
        <v>20340.188943888839</v>
      </c>
      <c r="U116" s="98">
        <f t="shared" si="22"/>
        <v>10058.418257988022</v>
      </c>
      <c r="V116" s="98">
        <f t="shared" si="22"/>
        <v>11687.262831725275</v>
      </c>
      <c r="W116" s="98">
        <f t="shared" si="22"/>
        <v>0</v>
      </c>
      <c r="X116" s="98">
        <f t="shared" si="22"/>
        <v>287.4698393589133</v>
      </c>
      <c r="Y116" s="98">
        <f t="shared" si="22"/>
        <v>793.73789834877937</v>
      </c>
      <c r="Z116" s="98">
        <f t="shared" si="22"/>
        <v>826.48671812987027</v>
      </c>
      <c r="AA116" s="98">
        <f t="shared" si="22"/>
        <v>3183.6991651607041</v>
      </c>
      <c r="AB116" s="98">
        <f t="shared" si="22"/>
        <v>0</v>
      </c>
      <c r="AC116" s="98">
        <f t="shared" si="22"/>
        <v>1018.9464571740133</v>
      </c>
      <c r="AD116" s="98">
        <f t="shared" si="22"/>
        <v>3312.4438246413192</v>
      </c>
      <c r="AE116" s="98">
        <f t="shared" si="22"/>
        <v>2175.2809362865491</v>
      </c>
      <c r="AF116" s="98">
        <f t="shared" si="22"/>
        <v>5947.7888173828378</v>
      </c>
      <c r="AG116" s="98">
        <f t="shared" si="22"/>
        <v>5603.4115463173257</v>
      </c>
      <c r="AH116" s="98">
        <f t="shared" si="22"/>
        <v>0</v>
      </c>
      <c r="AI116" s="98">
        <f t="shared" si="22"/>
        <v>0</v>
      </c>
      <c r="AJ116" s="98">
        <f t="shared" si="22"/>
        <v>-355.68819912172972</v>
      </c>
      <c r="AK116" s="98">
        <f t="shared" si="22"/>
        <v>0</v>
      </c>
      <c r="AL116" s="98">
        <f t="shared" si="22"/>
        <v>0</v>
      </c>
      <c r="AM116" s="98">
        <f t="shared" si="22"/>
        <v>0</v>
      </c>
      <c r="AN116" s="98">
        <f t="shared" si="22"/>
        <v>-5.0266559212711019</v>
      </c>
      <c r="AO116" s="98">
        <f t="shared" si="22"/>
        <v>0</v>
      </c>
    </row>
    <row r="117" spans="3:43" x14ac:dyDescent="0.3">
      <c r="C117" s="88"/>
      <c r="F117" t="s">
        <v>158</v>
      </c>
      <c r="G117" s="13" t="s">
        <v>277</v>
      </c>
      <c r="H117" s="98">
        <f t="shared" si="20"/>
        <v>25850.012207178876</v>
      </c>
      <c r="J117" s="98">
        <f t="shared" ref="J117:AO117" si="23">J46 * thousand * J75 / hundred</f>
        <v>12394.525267988767</v>
      </c>
      <c r="K117" s="98">
        <f t="shared" si="23"/>
        <v>0</v>
      </c>
      <c r="L117" s="98">
        <f t="shared" si="23"/>
        <v>0</v>
      </c>
      <c r="M117" s="98">
        <f t="shared" si="23"/>
        <v>55.506022736779485</v>
      </c>
      <c r="N117" s="98">
        <f t="shared" si="23"/>
        <v>252.21783195972563</v>
      </c>
      <c r="O117" s="98">
        <f t="shared" si="23"/>
        <v>253.1975277906036</v>
      </c>
      <c r="P117" s="98">
        <f t="shared" si="23"/>
        <v>821.97766094037695</v>
      </c>
      <c r="Q117" s="98">
        <f t="shared" si="23"/>
        <v>0</v>
      </c>
      <c r="R117" s="98">
        <f t="shared" si="23"/>
        <v>0</v>
      </c>
      <c r="S117" s="98">
        <f t="shared" si="23"/>
        <v>1430.6509954638134</v>
      </c>
      <c r="T117" s="98">
        <f t="shared" si="23"/>
        <v>1712.6696811929155</v>
      </c>
      <c r="U117" s="98">
        <f t="shared" si="23"/>
        <v>846.93156188153671</v>
      </c>
      <c r="V117" s="98">
        <f t="shared" si="23"/>
        <v>984.08233882422326</v>
      </c>
      <c r="W117" s="98">
        <f t="shared" si="23"/>
        <v>0</v>
      </c>
      <c r="X117" s="98">
        <f t="shared" si="23"/>
        <v>29.479400247142749</v>
      </c>
      <c r="Y117" s="98">
        <f t="shared" si="23"/>
        <v>81.39607705953263</v>
      </c>
      <c r="Z117" s="98">
        <f t="shared" si="23"/>
        <v>84.754396555244924</v>
      </c>
      <c r="AA117" s="98">
        <f t="shared" si="23"/>
        <v>326.48135249795064</v>
      </c>
      <c r="AB117" s="98">
        <f t="shared" si="23"/>
        <v>0</v>
      </c>
      <c r="AC117" s="98">
        <f t="shared" si="23"/>
        <v>119.19373651919088</v>
      </c>
      <c r="AD117" s="98">
        <f t="shared" si="23"/>
        <v>387.48116124171526</v>
      </c>
      <c r="AE117" s="98">
        <f t="shared" si="23"/>
        <v>254.45877057569345</v>
      </c>
      <c r="AF117" s="98">
        <f t="shared" si="23"/>
        <v>695.75704216796646</v>
      </c>
      <c r="AG117" s="98">
        <f t="shared" si="23"/>
        <v>5249.3790765517078</v>
      </c>
      <c r="AH117" s="98">
        <f t="shared" si="23"/>
        <v>0</v>
      </c>
      <c r="AI117" s="98">
        <f t="shared" si="23"/>
        <v>0</v>
      </c>
      <c r="AJ117" s="98">
        <f t="shared" si="23"/>
        <v>-129.80262582159372</v>
      </c>
      <c r="AK117" s="98">
        <f t="shared" si="23"/>
        <v>0</v>
      </c>
      <c r="AL117" s="98">
        <f t="shared" si="23"/>
        <v>0</v>
      </c>
      <c r="AM117" s="98">
        <f t="shared" si="23"/>
        <v>0</v>
      </c>
      <c r="AN117" s="98">
        <f t="shared" si="23"/>
        <v>-0.32506919441502108</v>
      </c>
      <c r="AO117" s="98">
        <f t="shared" si="23"/>
        <v>0</v>
      </c>
    </row>
    <row r="118" spans="3:43" x14ac:dyDescent="0.3">
      <c r="C118" s="88"/>
      <c r="F118" s="23" t="s">
        <v>159</v>
      </c>
      <c r="G118" s="85" t="s">
        <v>277</v>
      </c>
      <c r="H118" s="126">
        <f t="shared" si="20"/>
        <v>2873669.0027136477</v>
      </c>
      <c r="I118" s="23"/>
      <c r="J118" s="126">
        <f t="shared" ref="J118:AO118" si="24" xml:space="preserve"> J47 * J76 * days_in_year / hundred</f>
        <v>2197806.7847787836</v>
      </c>
      <c r="K118" s="126">
        <f t="shared" si="24"/>
        <v>0</v>
      </c>
      <c r="L118" s="126">
        <f t="shared" si="24"/>
        <v>0</v>
      </c>
      <c r="M118" s="126">
        <f t="shared" si="24"/>
        <v>10483.430264029621</v>
      </c>
      <c r="N118" s="126">
        <f t="shared" si="24"/>
        <v>21362.913913747449</v>
      </c>
      <c r="O118" s="126">
        <f t="shared" si="24"/>
        <v>18349.223623428166</v>
      </c>
      <c r="P118" s="126">
        <f t="shared" si="24"/>
        <v>54615.291631439737</v>
      </c>
      <c r="Q118" s="126">
        <f t="shared" si="24"/>
        <v>0</v>
      </c>
      <c r="R118" s="126">
        <f t="shared" si="24"/>
        <v>0</v>
      </c>
      <c r="S118" s="126">
        <f t="shared" si="24"/>
        <v>75939.457592154838</v>
      </c>
      <c r="T118" s="126">
        <f t="shared" si="24"/>
        <v>92731.61732461756</v>
      </c>
      <c r="U118" s="126">
        <f t="shared" si="24"/>
        <v>48522.812465681491</v>
      </c>
      <c r="V118" s="126">
        <f t="shared" si="24"/>
        <v>66708.011551815522</v>
      </c>
      <c r="W118" s="126">
        <f t="shared" si="24"/>
        <v>0</v>
      </c>
      <c r="X118" s="126">
        <f t="shared" si="24"/>
        <v>972.60593989563961</v>
      </c>
      <c r="Y118" s="126">
        <f t="shared" si="24"/>
        <v>2641.3956306154373</v>
      </c>
      <c r="Z118" s="126">
        <f t="shared" si="24"/>
        <v>2808.8905746671562</v>
      </c>
      <c r="AA118" s="126">
        <f t="shared" si="24"/>
        <v>11728.047293781345</v>
      </c>
      <c r="AB118" s="126">
        <f t="shared" si="24"/>
        <v>0</v>
      </c>
      <c r="AC118" s="126">
        <f t="shared" si="24"/>
        <v>23125.771651198324</v>
      </c>
      <c r="AD118" s="126">
        <f t="shared" si="24"/>
        <v>71852.495487643042</v>
      </c>
      <c r="AE118" s="126">
        <f t="shared" si="24"/>
        <v>46768.32285562942</v>
      </c>
      <c r="AF118" s="126">
        <f t="shared" si="24"/>
        <v>127251.93013451951</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475803.6061484752</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68180.53642911186</v>
      </c>
      <c r="T119" s="98">
        <f t="shared" si="25"/>
        <v>118008.96894986229</v>
      </c>
      <c r="U119" s="98">
        <f t="shared" si="25"/>
        <v>62817.283039353846</v>
      </c>
      <c r="V119" s="98">
        <f t="shared" si="25"/>
        <v>73086.163839724613</v>
      </c>
      <c r="W119" s="98">
        <f t="shared" si="25"/>
        <v>0</v>
      </c>
      <c r="X119" s="98">
        <f t="shared" si="25"/>
        <v>1293.9490477888453</v>
      </c>
      <c r="Y119" s="98">
        <f t="shared" si="25"/>
        <v>4481.4231609013214</v>
      </c>
      <c r="Z119" s="98">
        <f t="shared" si="25"/>
        <v>4720.177570950932</v>
      </c>
      <c r="AA119" s="98">
        <f t="shared" si="25"/>
        <v>18630.825712411108</v>
      </c>
      <c r="AB119" s="98">
        <f t="shared" si="25"/>
        <v>0</v>
      </c>
      <c r="AC119" s="98">
        <f t="shared" si="25"/>
        <v>11095.701454826896</v>
      </c>
      <c r="AD119" s="98">
        <f t="shared" si="25"/>
        <v>35031.509010797628</v>
      </c>
      <c r="AE119" s="98">
        <f t="shared" si="25"/>
        <v>22156.850096999919</v>
      </c>
      <c r="AF119" s="98">
        <f t="shared" si="25"/>
        <v>56300.217835746</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3196.2627670297579</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676.58391311180264</v>
      </c>
      <c r="T120" s="98">
        <f t="shared" si="26"/>
        <v>1171.0522412419086</v>
      </c>
      <c r="U120" s="98">
        <f t="shared" si="26"/>
        <v>623.36211176640825</v>
      </c>
      <c r="V120" s="98">
        <f t="shared" si="26"/>
        <v>725.26450090963806</v>
      </c>
      <c r="W120" s="98">
        <f t="shared" si="26"/>
        <v>0</v>
      </c>
      <c r="X120" s="98">
        <f t="shared" si="26"/>
        <v>0</v>
      </c>
      <c r="Y120" s="98">
        <f t="shared" si="26"/>
        <v>0</v>
      </c>
      <c r="Z120" s="98">
        <f t="shared" si="26"/>
        <v>0</v>
      </c>
      <c r="AA120" s="98">
        <f t="shared" si="26"/>
        <v>0</v>
      </c>
      <c r="AB120" s="98">
        <f t="shared" si="26"/>
        <v>0</v>
      </c>
      <c r="AC120" s="98">
        <f t="shared" si="26"/>
        <v>0</v>
      </c>
      <c r="AD120" s="98">
        <f t="shared" si="26"/>
        <v>0</v>
      </c>
      <c r="AE120" s="98">
        <f t="shared" si="26"/>
        <v>0</v>
      </c>
      <c r="AF120" s="98">
        <f t="shared" si="26"/>
        <v>0</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2331.3438751974318</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509.85583347511476</v>
      </c>
      <c r="T121" s="126">
        <f t="shared" si="27"/>
        <v>610.36173779691057</v>
      </c>
      <c r="U121" s="126">
        <f t="shared" si="27"/>
        <v>301.82972559250845</v>
      </c>
      <c r="V121" s="126">
        <f t="shared" si="27"/>
        <v>350.70756086581548</v>
      </c>
      <c r="W121" s="126">
        <f t="shared" si="27"/>
        <v>0</v>
      </c>
      <c r="X121" s="126">
        <f t="shared" si="27"/>
        <v>16.909557807894647</v>
      </c>
      <c r="Y121" s="126">
        <f t="shared" si="27"/>
        <v>46.689269755663275</v>
      </c>
      <c r="Z121" s="126">
        <f t="shared" si="27"/>
        <v>48.61562162083159</v>
      </c>
      <c r="AA121" s="126">
        <f t="shared" si="27"/>
        <v>187.27162889953328</v>
      </c>
      <c r="AB121" s="126">
        <f t="shared" si="27"/>
        <v>0</v>
      </c>
      <c r="AC121" s="126">
        <f t="shared" si="27"/>
        <v>20.970080054531508</v>
      </c>
      <c r="AD121" s="126">
        <f t="shared" si="27"/>
        <v>68.170620438208559</v>
      </c>
      <c r="AE121" s="126">
        <f t="shared" si="27"/>
        <v>44.767627438970557</v>
      </c>
      <c r="AF121" s="126">
        <f t="shared" si="27"/>
        <v>122.40643928816866</v>
      </c>
      <c r="AG121" s="126">
        <f t="shared" si="27"/>
        <v>0</v>
      </c>
      <c r="AH121" s="126">
        <f t="shared" si="27"/>
        <v>0</v>
      </c>
      <c r="AI121" s="126">
        <f t="shared" si="27"/>
        <v>0</v>
      </c>
      <c r="AJ121" s="126">
        <f t="shared" si="27"/>
        <v>2.7881721632800454</v>
      </c>
      <c r="AK121" s="126">
        <f t="shared" si="27"/>
        <v>0</v>
      </c>
      <c r="AL121" s="126">
        <f t="shared" si="27"/>
        <v>0</v>
      </c>
      <c r="AM121" s="126">
        <f t="shared" si="27"/>
        <v>0</v>
      </c>
      <c r="AN121" s="126">
        <f t="shared" si="27"/>
        <v>0</v>
      </c>
      <c r="AO121" s="126">
        <f t="shared" si="27"/>
        <v>0</v>
      </c>
    </row>
    <row r="122" spans="3:43" x14ac:dyDescent="0.3">
      <c r="C122" s="88"/>
      <c r="F122" s="108" t="s">
        <v>100</v>
      </c>
      <c r="G122" s="214" t="s">
        <v>277</v>
      </c>
      <c r="H122" s="153">
        <f>SUM(H115:H121)</f>
        <v>4441001.7680158652</v>
      </c>
      <c r="I122" s="108"/>
      <c r="J122" s="153">
        <f t="shared" ref="J122" si="28">SUM(J115:J121)</f>
        <v>2818298.3368503107</v>
      </c>
      <c r="K122" s="153">
        <f t="shared" ref="K122:AO122" si="29">SUM(K115:K121)</f>
        <v>0</v>
      </c>
      <c r="L122" s="153">
        <f t="shared" si="29"/>
        <v>0</v>
      </c>
      <c r="M122" s="153">
        <f t="shared" si="29"/>
        <v>13632.998897820989</v>
      </c>
      <c r="N122" s="153">
        <f t="shared" si="29"/>
        <v>35674.466665244494</v>
      </c>
      <c r="O122" s="153">
        <f t="shared" si="29"/>
        <v>32716.367085760718</v>
      </c>
      <c r="P122" s="153">
        <f t="shared" si="29"/>
        <v>101256.62766900749</v>
      </c>
      <c r="Q122" s="153">
        <f t="shared" si="29"/>
        <v>0</v>
      </c>
      <c r="R122" s="153">
        <f t="shared" si="29"/>
        <v>0</v>
      </c>
      <c r="S122" s="153">
        <f t="shared" si="29"/>
        <v>221278.40526978517</v>
      </c>
      <c r="T122" s="153">
        <f t="shared" si="29"/>
        <v>303470.0320407034</v>
      </c>
      <c r="U122" s="153">
        <f t="shared" si="29"/>
        <v>157239.96019228149</v>
      </c>
      <c r="V122" s="153">
        <f t="shared" si="29"/>
        <v>193127.94871844538</v>
      </c>
      <c r="W122" s="153">
        <f t="shared" si="29"/>
        <v>0</v>
      </c>
      <c r="X122" s="153">
        <f t="shared" si="29"/>
        <v>3967.8613453657099</v>
      </c>
      <c r="Y122" s="153">
        <f t="shared" si="29"/>
        <v>11820.324922263624</v>
      </c>
      <c r="Z122" s="153">
        <f t="shared" si="29"/>
        <v>12420.388609807302</v>
      </c>
      <c r="AA122" s="153">
        <f t="shared" si="29"/>
        <v>49200.667480045908</v>
      </c>
      <c r="AB122" s="153">
        <f t="shared" si="29"/>
        <v>0</v>
      </c>
      <c r="AC122" s="153">
        <f t="shared" si="29"/>
        <v>41012.023814263579</v>
      </c>
      <c r="AD122" s="153">
        <f t="shared" si="29"/>
        <v>128959.07782643646</v>
      </c>
      <c r="AE122" s="153">
        <f t="shared" si="29"/>
        <v>83421.86745361959</v>
      </c>
      <c r="AF122" s="153">
        <f t="shared" si="29"/>
        <v>223189.91429446181</v>
      </c>
      <c r="AG122" s="153">
        <f t="shared" si="29"/>
        <v>11615.740838356855</v>
      </c>
      <c r="AH122" s="153">
        <f t="shared" si="29"/>
        <v>0</v>
      </c>
      <c r="AI122" s="153">
        <f t="shared" si="29"/>
        <v>0</v>
      </c>
      <c r="AJ122" s="153">
        <f t="shared" si="29"/>
        <v>-1280.845574360317</v>
      </c>
      <c r="AK122" s="153">
        <f t="shared" si="29"/>
        <v>0</v>
      </c>
      <c r="AL122" s="153">
        <f t="shared" si="29"/>
        <v>0</v>
      </c>
      <c r="AM122" s="153">
        <f t="shared" si="29"/>
        <v>0</v>
      </c>
      <c r="AN122" s="153">
        <f t="shared" si="29"/>
        <v>-20.396383755140157</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412459496.8321017</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188019978.70764935</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54190749.917051189</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94439.110999842305</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170154329.09640133</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1696.8560045361519</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412461193.68810624</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1696.8560045361519</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4.1139942650584298E-6</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156.01909915378502</v>
      </c>
      <c r="K140" s="199">
        <f t="shared" si="30"/>
        <v>0</v>
      </c>
      <c r="L140" s="199">
        <f t="shared" si="30"/>
        <v>0</v>
      </c>
      <c r="M140" s="199">
        <f t="shared" si="30"/>
        <v>72.416875596868579</v>
      </c>
      <c r="N140" s="199">
        <f t="shared" si="30"/>
        <v>246.6712642224804</v>
      </c>
      <c r="O140" s="199">
        <f t="shared" si="30"/>
        <v>539.65174558931039</v>
      </c>
      <c r="P140" s="199">
        <f t="shared" si="30"/>
        <v>1658.8927192175559</v>
      </c>
      <c r="Q140" s="199">
        <f t="shared" si="30"/>
        <v>0</v>
      </c>
      <c r="R140" s="199">
        <f t="shared" si="30"/>
        <v>0</v>
      </c>
      <c r="S140" s="199">
        <f t="shared" si="30"/>
        <v>2555.2491089706273</v>
      </c>
      <c r="T140" s="199">
        <f t="shared" si="30"/>
        <v>5412.1566167390429</v>
      </c>
      <c r="U140" s="199">
        <f t="shared" si="30"/>
        <v>8623.8820942174534</v>
      </c>
      <c r="V140" s="199">
        <f t="shared" si="30"/>
        <v>17281.296796597158</v>
      </c>
      <c r="W140" s="199">
        <f t="shared" si="30"/>
        <v>0</v>
      </c>
      <c r="X140" s="199">
        <f t="shared" si="30"/>
        <v>2672.6077642438827</v>
      </c>
      <c r="Y140" s="199">
        <f t="shared" si="30"/>
        <v>5619.7325949163705</v>
      </c>
      <c r="Z140" s="199">
        <f t="shared" si="30"/>
        <v>8969.0090123197497</v>
      </c>
      <c r="AA140" s="199">
        <f t="shared" si="30"/>
        <v>18910.875018296792</v>
      </c>
      <c r="AB140" s="199">
        <f t="shared" si="30"/>
        <v>0</v>
      </c>
      <c r="AC140" s="199">
        <f t="shared" si="30"/>
        <v>9657.0014100664321</v>
      </c>
      <c r="AD140" s="199">
        <f t="shared" si="30"/>
        <v>34999.558362063872</v>
      </c>
      <c r="AE140" s="199">
        <f t="shared" si="30"/>
        <v>72828.156085856783</v>
      </c>
      <c r="AF140" s="199">
        <f t="shared" si="30"/>
        <v>182296.08743808864</v>
      </c>
      <c r="AG140" s="199">
        <f t="shared" si="30"/>
        <v>178898.53807978524</v>
      </c>
      <c r="AH140" s="199">
        <f t="shared" si="30"/>
        <v>0</v>
      </c>
      <c r="AI140" s="199">
        <f t="shared" si="30"/>
        <v>0</v>
      </c>
      <c r="AJ140" s="199">
        <f t="shared" si="30"/>
        <v>-558.47798439435564</v>
      </c>
      <c r="AK140" s="199">
        <f t="shared" si="30"/>
        <v>0</v>
      </c>
      <c r="AL140" s="199">
        <f t="shared" si="30"/>
        <v>-983.68906532212372</v>
      </c>
      <c r="AM140" s="199">
        <f t="shared" si="30"/>
        <v>0</v>
      </c>
      <c r="AN140" s="199">
        <f t="shared" si="30"/>
        <v>-7801.4715864669051</v>
      </c>
      <c r="AO140" s="199">
        <f t="shared" si="30"/>
        <v>0</v>
      </c>
    </row>
    <row r="141" spans="3:43" x14ac:dyDescent="0.3">
      <c r="E141" t="s">
        <v>774</v>
      </c>
      <c r="G141" s="13" t="s">
        <v>772</v>
      </c>
      <c r="H141" t="s">
        <v>448</v>
      </c>
      <c r="J141" s="98">
        <f t="shared" ref="J141:AO141" si="31" xml:space="preserve"> IF( J36 &lt;&gt; 0, J112 / J36, 0)</f>
        <v>105.93401630339652</v>
      </c>
      <c r="K141" s="98">
        <f t="shared" si="31"/>
        <v>0</v>
      </c>
      <c r="L141" s="98">
        <f t="shared" si="31"/>
        <v>0</v>
      </c>
      <c r="M141" s="98">
        <f t="shared" si="31"/>
        <v>39.784900317500494</v>
      </c>
      <c r="N141" s="98">
        <f t="shared" si="31"/>
        <v>121.87396949378363</v>
      </c>
      <c r="O141" s="98">
        <f t="shared" si="31"/>
        <v>259.93083227508299</v>
      </c>
      <c r="P141" s="98">
        <f t="shared" si="31"/>
        <v>787.32255094398772</v>
      </c>
      <c r="Q141" s="98">
        <f t="shared" si="31"/>
        <v>0</v>
      </c>
      <c r="R141" s="98">
        <f t="shared" si="31"/>
        <v>0</v>
      </c>
      <c r="S141" s="98">
        <f t="shared" si="31"/>
        <v>1409.8251482374358</v>
      </c>
      <c r="T141" s="98">
        <f t="shared" si="31"/>
        <v>3045.1562500870109</v>
      </c>
      <c r="U141" s="98">
        <f t="shared" si="31"/>
        <v>4883.7392576653419</v>
      </c>
      <c r="V141" s="98">
        <f t="shared" si="31"/>
        <v>9859.17905503773</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83.593358412271499</v>
      </c>
      <c r="K142" s="98">
        <f t="shared" si="32"/>
        <v>0</v>
      </c>
      <c r="L142" s="98">
        <f t="shared" si="32"/>
        <v>0</v>
      </c>
      <c r="M142" s="98">
        <f t="shared" si="32"/>
        <v>31.517294718054121</v>
      </c>
      <c r="N142" s="98">
        <f t="shared" si="32"/>
        <v>108.19027396759707</v>
      </c>
      <c r="O142" s="98">
        <f t="shared" si="32"/>
        <v>237.14753331867175</v>
      </c>
      <c r="P142" s="98">
        <f t="shared" si="32"/>
        <v>729.83084833567523</v>
      </c>
      <c r="Q142" s="98">
        <f t="shared" si="32"/>
        <v>0</v>
      </c>
      <c r="R142" s="98">
        <f t="shared" si="32"/>
        <v>0</v>
      </c>
      <c r="S142" s="98">
        <f t="shared" si="32"/>
        <v>1607.6862216847362</v>
      </c>
      <c r="T142" s="98">
        <f t="shared" si="32"/>
        <v>3506.4118499843385</v>
      </c>
      <c r="U142" s="98">
        <f t="shared" si="32"/>
        <v>5576.0548890986984</v>
      </c>
      <c r="V142" s="98">
        <f t="shared" si="32"/>
        <v>10871.642777096074</v>
      </c>
      <c r="W142" s="98">
        <f t="shared" si="32"/>
        <v>0</v>
      </c>
      <c r="X142" s="98">
        <f t="shared" si="32"/>
        <v>3672.7684939175292</v>
      </c>
      <c r="Y142" s="98">
        <f t="shared" si="32"/>
        <v>7858.2199606094282</v>
      </c>
      <c r="Z142" s="98">
        <f t="shared" si="32"/>
        <v>12491.579467516844</v>
      </c>
      <c r="AA142" s="98">
        <f t="shared" si="32"/>
        <v>25903.681992607831</v>
      </c>
      <c r="AB142" s="98">
        <f t="shared" si="32"/>
        <v>0</v>
      </c>
      <c r="AC142" s="98">
        <f t="shared" si="32"/>
        <v>9078.8821297298036</v>
      </c>
      <c r="AD142" s="98">
        <f t="shared" si="32"/>
        <v>32956.481758873582</v>
      </c>
      <c r="AE142" s="98">
        <f t="shared" si="32"/>
        <v>68463.770867969826</v>
      </c>
      <c r="AF142" s="98">
        <f t="shared" si="32"/>
        <v>170681.57970813732</v>
      </c>
      <c r="AG142" s="98">
        <f t="shared" si="32"/>
        <v>19893.197521312752</v>
      </c>
      <c r="AH142" s="98">
        <f t="shared" si="32"/>
        <v>0</v>
      </c>
      <c r="AI142" s="98">
        <f t="shared" si="32"/>
        <v>0</v>
      </c>
      <c r="AJ142" s="98">
        <f t="shared" si="32"/>
        <v>-260.71001575101843</v>
      </c>
      <c r="AK142" s="98">
        <f t="shared" si="32"/>
        <v>0</v>
      </c>
      <c r="AL142" s="98">
        <f t="shared" si="32"/>
        <v>0</v>
      </c>
      <c r="AM142" s="98">
        <f t="shared" si="32"/>
        <v>0</v>
      </c>
      <c r="AN142" s="98">
        <f t="shared" si="32"/>
        <v>-84.250191446549223</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4.4387926944847269</v>
      </c>
      <c r="K146" s="275">
        <f t="shared" si="33"/>
        <v>0.28420703423656973</v>
      </c>
      <c r="L146" s="275">
        <f t="shared" si="33"/>
        <v>0</v>
      </c>
      <c r="M146" s="275">
        <f t="shared" si="33"/>
        <v>5.4380158807525518</v>
      </c>
      <c r="N146" s="275">
        <f t="shared" si="33"/>
        <v>3.1074945138948804</v>
      </c>
      <c r="O146" s="275">
        <f t="shared" si="33"/>
        <v>2.8333414595863875</v>
      </c>
      <c r="P146" s="275">
        <f t="shared" si="33"/>
        <v>2.6980988696341348</v>
      </c>
      <c r="Q146" s="275">
        <f t="shared" si="33"/>
        <v>0.36412655606509819</v>
      </c>
      <c r="R146" s="275">
        <f t="shared" si="33"/>
        <v>0</v>
      </c>
      <c r="S146" s="275">
        <f t="shared" si="33"/>
        <v>3.0699320968722934</v>
      </c>
      <c r="T146" s="275">
        <f t="shared" si="33"/>
        <v>3.4153963780747216</v>
      </c>
      <c r="U146" s="275">
        <f t="shared" si="33"/>
        <v>3.5857652973679932</v>
      </c>
      <c r="V146" s="275">
        <f t="shared" si="33"/>
        <v>3.8957073753208054</v>
      </c>
      <c r="W146" s="275">
        <f t="shared" si="33"/>
        <v>0</v>
      </c>
      <c r="X146" s="275">
        <f t="shared" si="33"/>
        <v>2.2010825468509152</v>
      </c>
      <c r="Y146" s="275">
        <f t="shared" si="33"/>
        <v>2.3338569068015413</v>
      </c>
      <c r="Z146" s="275">
        <f t="shared" si="33"/>
        <v>2.3645955512264374</v>
      </c>
      <c r="AA146" s="275">
        <f t="shared" si="33"/>
        <v>2.4724046575721745</v>
      </c>
      <c r="AB146" s="275">
        <f t="shared" si="33"/>
        <v>0</v>
      </c>
      <c r="AC146" s="275">
        <f t="shared" si="33"/>
        <v>2.3927882690642046</v>
      </c>
      <c r="AD146" s="275">
        <f t="shared" si="33"/>
        <v>2.3107855071203285</v>
      </c>
      <c r="AE146" s="275">
        <f t="shared" si="33"/>
        <v>2.2800142900325167</v>
      </c>
      <c r="AF146" s="275">
        <f t="shared" si="33"/>
        <v>2.2399804905601259</v>
      </c>
      <c r="AG146" s="275">
        <f t="shared" si="33"/>
        <v>3.7494203953752252</v>
      </c>
      <c r="AH146" s="275">
        <f t="shared" si="33"/>
        <v>-0.84571278602702704</v>
      </c>
      <c r="AI146" s="275">
        <f t="shared" si="33"/>
        <v>0</v>
      </c>
      <c r="AJ146" s="275">
        <f t="shared" si="33"/>
        <v>-0.72347893579423639</v>
      </c>
      <c r="AK146" s="275">
        <f t="shared" si="33"/>
        <v>0</v>
      </c>
      <c r="AL146" s="275">
        <f t="shared" si="33"/>
        <v>-0.61933743541168296</v>
      </c>
      <c r="AM146" s="275">
        <f t="shared" si="33"/>
        <v>0</v>
      </c>
      <c r="AN146" s="275">
        <f t="shared" si="33"/>
        <v>-0.39941459163023013</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3.7678771154951529</v>
      </c>
      <c r="K147" s="282">
        <f t="shared" si="34"/>
        <v>0</v>
      </c>
      <c r="L147" s="282">
        <f t="shared" si="34"/>
        <v>0</v>
      </c>
      <c r="M147" s="282">
        <f t="shared" si="34"/>
        <v>6.504298679670633</v>
      </c>
      <c r="N147" s="282">
        <f t="shared" si="34"/>
        <v>3.3425990167461475</v>
      </c>
      <c r="O147" s="282">
        <f t="shared" si="34"/>
        <v>2.9711504338937074</v>
      </c>
      <c r="P147" s="282">
        <f t="shared" si="34"/>
        <v>2.7878779918543817</v>
      </c>
      <c r="Q147" s="282">
        <f t="shared" si="34"/>
        <v>0</v>
      </c>
      <c r="R147" s="282">
        <f t="shared" si="34"/>
        <v>0</v>
      </c>
      <c r="S147" s="282">
        <f t="shared" si="34"/>
        <v>3.0701072444290998</v>
      </c>
      <c r="T147" s="282">
        <f t="shared" si="34"/>
        <v>3.4831574684525246</v>
      </c>
      <c r="U147" s="282">
        <f t="shared" si="34"/>
        <v>3.6806480196799107</v>
      </c>
      <c r="V147" s="282">
        <f t="shared" si="34"/>
        <v>4.0285014268563675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1.9739306668426442</v>
      </c>
      <c r="AH147" s="282">
        <f t="shared" si="34"/>
        <v>-0.9357961513481462</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3.0409624106043949</v>
      </c>
      <c r="K148" s="282">
        <f t="shared" si="35"/>
        <v>0</v>
      </c>
      <c r="L148" s="282">
        <f t="shared" si="35"/>
        <v>0</v>
      </c>
      <c r="M148" s="282">
        <f t="shared" si="35"/>
        <v>2.4365061070950786</v>
      </c>
      <c r="N148" s="282">
        <f t="shared" si="35"/>
        <v>1.403130014654989</v>
      </c>
      <c r="O148" s="282">
        <f t="shared" si="35"/>
        <v>1.2818045988788003</v>
      </c>
      <c r="P148" s="282">
        <f t="shared" si="35"/>
        <v>1.2220237833177412</v>
      </c>
      <c r="Q148" s="282">
        <f t="shared" si="35"/>
        <v>0</v>
      </c>
      <c r="R148" s="282">
        <f t="shared" si="35"/>
        <v>0</v>
      </c>
      <c r="S148" s="282">
        <f t="shared" si="35"/>
        <v>1.0257567065608066</v>
      </c>
      <c r="T148" s="282">
        <f t="shared" si="35"/>
        <v>1.1751173394722867</v>
      </c>
      <c r="U148" s="282">
        <f t="shared" si="35"/>
        <v>1.2312709730795328</v>
      </c>
      <c r="V148" s="282">
        <f t="shared" si="35"/>
        <v>1.3015256268250921</v>
      </c>
      <c r="W148" s="282">
        <f t="shared" si="35"/>
        <v>0</v>
      </c>
      <c r="X148" s="282">
        <f t="shared" si="35"/>
        <v>0.99053437493046148</v>
      </c>
      <c r="Y148" s="282">
        <f t="shared" si="35"/>
        <v>1.0687045249453511</v>
      </c>
      <c r="Z148" s="282">
        <f t="shared" si="35"/>
        <v>1.0784615250013674</v>
      </c>
      <c r="AA148" s="282">
        <f t="shared" si="35"/>
        <v>1.1090326230859562</v>
      </c>
      <c r="AB148" s="282">
        <f t="shared" si="35"/>
        <v>0</v>
      </c>
      <c r="AC148" s="282">
        <f t="shared" si="35"/>
        <v>1.8082089340455689</v>
      </c>
      <c r="AD148" s="282">
        <f t="shared" si="35"/>
        <v>1.7490095081881027</v>
      </c>
      <c r="AE148" s="282">
        <f t="shared" si="35"/>
        <v>1.7228732468109946</v>
      </c>
      <c r="AF148" s="282">
        <f t="shared" si="35"/>
        <v>1.6858067903501117</v>
      </c>
      <c r="AG148" s="282">
        <f t="shared" si="35"/>
        <v>1.3130370600625092</v>
      </c>
      <c r="AH148" s="282">
        <f t="shared" si="35"/>
        <v>0</v>
      </c>
      <c r="AI148" s="282">
        <f t="shared" si="35"/>
        <v>0</v>
      </c>
      <c r="AJ148" s="282">
        <f t="shared" si="35"/>
        <v>-0.3134506358451441</v>
      </c>
      <c r="AK148" s="282">
        <f t="shared" si="35"/>
        <v>0</v>
      </c>
      <c r="AL148" s="282">
        <f t="shared" si="35"/>
        <v>0</v>
      </c>
      <c r="AM148" s="282">
        <f t="shared" si="35"/>
        <v>0</v>
      </c>
      <c r="AN148" s="282">
        <f t="shared" si="35"/>
        <v>-0.38782415965051964</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4.4387926944847269</v>
      </c>
      <c r="K174" s="275">
        <f t="shared" si="39"/>
        <v>0.28420703423656973</v>
      </c>
      <c r="L174" s="275" t="str">
        <f t="shared" si="39"/>
        <v>-</v>
      </c>
      <c r="M174" s="275">
        <f t="shared" si="39"/>
        <v>5.4380158807525527</v>
      </c>
      <c r="N174" s="275">
        <f t="shared" si="39"/>
        <v>3.1074945138948804</v>
      </c>
      <c r="O174" s="275">
        <f t="shared" si="39"/>
        <v>2.8333414595863875</v>
      </c>
      <c r="P174" s="275">
        <f t="shared" si="39"/>
        <v>2.6980988696341344</v>
      </c>
      <c r="Q174" s="275">
        <f t="shared" si="39"/>
        <v>0.36412655606509825</v>
      </c>
      <c r="R174" s="275" t="str">
        <f t="shared" si="39"/>
        <v>-</v>
      </c>
      <c r="S174" s="275">
        <f t="shared" si="39"/>
        <v>3.069932096872293</v>
      </c>
      <c r="T174" s="275">
        <f t="shared" si="39"/>
        <v>3.4153963780747221</v>
      </c>
      <c r="U174" s="275">
        <f t="shared" si="39"/>
        <v>3.5857652973679932</v>
      </c>
      <c r="V174" s="275">
        <f t="shared" si="39"/>
        <v>3.8957073753208058</v>
      </c>
      <c r="W174" s="275" t="str">
        <f t="shared" si="39"/>
        <v>-</v>
      </c>
      <c r="X174" s="275">
        <f t="shared" si="39"/>
        <v>2.2010825468509152</v>
      </c>
      <c r="Y174" s="275">
        <f t="shared" si="39"/>
        <v>2.3338569068015413</v>
      </c>
      <c r="Z174" s="275">
        <f t="shared" si="39"/>
        <v>2.3645955512264374</v>
      </c>
      <c r="AA174" s="275">
        <f t="shared" si="39"/>
        <v>2.4724046575721745</v>
      </c>
      <c r="AB174" s="275" t="str">
        <f t="shared" si="39"/>
        <v>-</v>
      </c>
      <c r="AC174" s="275">
        <f t="shared" si="39"/>
        <v>2.3927882690642042</v>
      </c>
      <c r="AD174" s="275">
        <f t="shared" si="39"/>
        <v>2.3107855071203285</v>
      </c>
      <c r="AE174" s="275">
        <f t="shared" si="39"/>
        <v>2.2800142900325167</v>
      </c>
      <c r="AF174" s="275">
        <f t="shared" si="39"/>
        <v>2.2399804905601259</v>
      </c>
      <c r="AG174" s="275">
        <f t="shared" si="39"/>
        <v>3.7494203953752256</v>
      </c>
      <c r="AH174" s="275">
        <f t="shared" si="39"/>
        <v>-0.84571278602702704</v>
      </c>
      <c r="AI174" s="275" t="str">
        <f t="shared" si="39"/>
        <v>-</v>
      </c>
      <c r="AJ174" s="275">
        <f t="shared" si="39"/>
        <v>-0.72347893579423628</v>
      </c>
      <c r="AK174" s="275" t="str">
        <f t="shared" si="39"/>
        <v>-</v>
      </c>
      <c r="AL174" s="275">
        <f t="shared" si="39"/>
        <v>-0.61933743541168296</v>
      </c>
      <c r="AM174" s="275" t="str">
        <f t="shared" si="39"/>
        <v>-</v>
      </c>
      <c r="AN174" s="275">
        <f t="shared" si="39"/>
        <v>-0.39941459163023013</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23.559353404227494</v>
      </c>
      <c r="K182" s="126">
        <f t="shared" si="40"/>
        <v>0</v>
      </c>
      <c r="L182" s="126">
        <f t="shared" si="40"/>
        <v>0</v>
      </c>
      <c r="M182" s="126">
        <f t="shared" si="40"/>
        <v>6.8027258520601119</v>
      </c>
      <c r="N182" s="126">
        <f t="shared" si="40"/>
        <v>40.550092250544104</v>
      </c>
      <c r="O182" s="126">
        <f t="shared" si="40"/>
        <v>97.296748505935454</v>
      </c>
      <c r="P182" s="126">
        <f t="shared" si="40"/>
        <v>314.08275995963726</v>
      </c>
      <c r="Q182" s="126">
        <f t="shared" si="40"/>
        <v>0</v>
      </c>
      <c r="R182" s="126">
        <f t="shared" si="40"/>
        <v>0</v>
      </c>
      <c r="S182" s="126">
        <f t="shared" si="40"/>
        <v>302.46613227964582</v>
      </c>
      <c r="T182" s="126">
        <f t="shared" si="40"/>
        <v>575.83958867531442</v>
      </c>
      <c r="U182" s="126">
        <f t="shared" si="40"/>
        <v>873.96336321674107</v>
      </c>
      <c r="V182" s="126">
        <f t="shared" si="40"/>
        <v>1611.9897589713739</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30461.189608748915</v>
      </c>
      <c r="AH182" s="126">
        <f t="shared" si="40"/>
        <v>0</v>
      </c>
      <c r="AI182" s="126">
        <f t="shared" si="40"/>
        <v>0</v>
      </c>
      <c r="AJ182" s="126">
        <f t="shared" si="40"/>
        <v>-384.5757502266157</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6.8265800822918212</v>
      </c>
      <c r="K183" s="98">
        <f t="shared" si="41"/>
        <v>0</v>
      </c>
      <c r="L183" s="98">
        <f t="shared" si="41"/>
        <v>0</v>
      </c>
      <c r="M183" s="98">
        <f t="shared" si="41"/>
        <v>2.8141114551598188</v>
      </c>
      <c r="N183" s="98">
        <f t="shared" si="41"/>
        <v>16.774522682769316</v>
      </c>
      <c r="O183" s="98">
        <f t="shared" si="41"/>
        <v>40.249144309914989</v>
      </c>
      <c r="P183" s="98">
        <f t="shared" si="41"/>
        <v>129.92790124020078</v>
      </c>
      <c r="Q183" s="98">
        <f t="shared" si="41"/>
        <v>0</v>
      </c>
      <c r="R183" s="98">
        <f t="shared" si="41"/>
        <v>0</v>
      </c>
      <c r="S183" s="98">
        <f t="shared" si="41"/>
        <v>98.878167134144874</v>
      </c>
      <c r="T183" s="98">
        <f t="shared" si="41"/>
        <v>188.24574725891247</v>
      </c>
      <c r="U183" s="98">
        <f t="shared" si="41"/>
        <v>285.70436910063131</v>
      </c>
      <c r="V183" s="98">
        <f t="shared" si="41"/>
        <v>526.97004985251215</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31440.080083008666</v>
      </c>
      <c r="AH183" s="98">
        <f t="shared" si="41"/>
        <v>0</v>
      </c>
      <c r="AI183" s="98">
        <f t="shared" si="41"/>
        <v>0</v>
      </c>
      <c r="AJ183" s="98">
        <f t="shared" si="41"/>
        <v>-168.90611386923388</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0.74258062650280332</v>
      </c>
      <c r="K184" s="98">
        <f t="shared" si="42"/>
        <v>0</v>
      </c>
      <c r="L184" s="98">
        <f t="shared" si="42"/>
        <v>0</v>
      </c>
      <c r="M184" s="98">
        <f t="shared" si="42"/>
        <v>0.21620665902084482</v>
      </c>
      <c r="N184" s="98">
        <f t="shared" si="42"/>
        <v>1.2887774928960525</v>
      </c>
      <c r="O184" s="98">
        <f t="shared" si="42"/>
        <v>3.0923199590189503</v>
      </c>
      <c r="P184" s="98">
        <f t="shared" si="42"/>
        <v>9.9822902853500306</v>
      </c>
      <c r="Q184" s="98">
        <f t="shared" si="42"/>
        <v>0</v>
      </c>
      <c r="R184" s="98">
        <f t="shared" si="42"/>
        <v>0</v>
      </c>
      <c r="S184" s="98">
        <f t="shared" si="42"/>
        <v>7.854637242731159</v>
      </c>
      <c r="T184" s="98">
        <f t="shared" si="42"/>
        <v>14.953776956642397</v>
      </c>
      <c r="U184" s="98">
        <f t="shared" si="42"/>
        <v>22.695649029419442</v>
      </c>
      <c r="V184" s="98">
        <f t="shared" si="42"/>
        <v>41.86119847630237</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48861.589009273841</v>
      </c>
      <c r="AH184" s="98">
        <f t="shared" si="42"/>
        <v>0</v>
      </c>
      <c r="AI184" s="98">
        <f t="shared" si="42"/>
        <v>0</v>
      </c>
      <c r="AJ184" s="98">
        <f t="shared" si="42"/>
        <v>-13.70357239957673</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78.876500000000007</v>
      </c>
      <c r="K185" s="126">
        <f t="shared" si="43"/>
        <v>0</v>
      </c>
      <c r="L185" s="126">
        <f t="shared" si="43"/>
        <v>0</v>
      </c>
      <c r="M185" s="126">
        <f t="shared" si="43"/>
        <v>35.149500000000003</v>
      </c>
      <c r="N185" s="126">
        <f t="shared" si="43"/>
        <v>94.242999999999981</v>
      </c>
      <c r="O185" s="126">
        <f t="shared" si="43"/>
        <v>193.63249999999999</v>
      </c>
      <c r="P185" s="126">
        <f t="shared" si="43"/>
        <v>573.30550000000005</v>
      </c>
      <c r="Q185" s="126">
        <f t="shared" si="43"/>
        <v>0</v>
      </c>
      <c r="R185" s="126">
        <f t="shared" si="43"/>
        <v>0</v>
      </c>
      <c r="S185" s="126">
        <f t="shared" si="43"/>
        <v>803.58400000000006</v>
      </c>
      <c r="T185" s="126">
        <f t="shared" si="43"/>
        <v>1560.7034999999998</v>
      </c>
      <c r="U185" s="126">
        <f t="shared" si="43"/>
        <v>2506.4915000000001</v>
      </c>
      <c r="V185" s="126">
        <f t="shared" si="43"/>
        <v>5470.1820000000007</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346.33449544752233</v>
      </c>
      <c r="T186" s="98">
        <f t="shared" si="44"/>
        <v>953.31232992451373</v>
      </c>
      <c r="U186" s="98">
        <f t="shared" si="44"/>
        <v>1557.4579962026401</v>
      </c>
      <c r="V186" s="98">
        <f t="shared" si="44"/>
        <v>2876.4596920300942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17.31948015008409</v>
      </c>
      <c r="T187" s="98">
        <f t="shared" si="45"/>
        <v>47.673200885240178</v>
      </c>
      <c r="U187" s="98">
        <f t="shared" si="45"/>
        <v>77.885290678209699</v>
      </c>
      <c r="V187" s="98">
        <f t="shared" si="45"/>
        <v>143.8458692203269</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6.328029988015996</v>
      </c>
      <c r="T188" s="126">
        <f t="shared" si="46"/>
        <v>12.047399019388992</v>
      </c>
      <c r="U188" s="126">
        <f t="shared" si="46"/>
        <v>18.284580588181846</v>
      </c>
      <c r="V188" s="126">
        <f t="shared" si="46"/>
        <v>33.725162742235327</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8.7074521010706345</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110.00501411302213</v>
      </c>
      <c r="K189" s="153">
        <f t="shared" ref="K189:AO189" si="48">SUM(K182:K188)</f>
        <v>0</v>
      </c>
      <c r="L189" s="153">
        <f t="shared" si="48"/>
        <v>0</v>
      </c>
      <c r="M189" s="153">
        <f t="shared" si="48"/>
        <v>44.982543966240783</v>
      </c>
      <c r="N189" s="153">
        <f t="shared" si="48"/>
        <v>152.85639242620945</v>
      </c>
      <c r="O189" s="153">
        <f t="shared" si="48"/>
        <v>334.27071277486937</v>
      </c>
      <c r="P189" s="153">
        <f t="shared" si="48"/>
        <v>1027.2984514851883</v>
      </c>
      <c r="Q189" s="153">
        <f t="shared" si="48"/>
        <v>0</v>
      </c>
      <c r="R189" s="153">
        <f t="shared" si="48"/>
        <v>0</v>
      </c>
      <c r="S189" s="153">
        <f t="shared" si="48"/>
        <v>1582.7649422421443</v>
      </c>
      <c r="T189" s="153">
        <f t="shared" si="48"/>
        <v>3352.7755427200118</v>
      </c>
      <c r="U189" s="153">
        <f t="shared" si="48"/>
        <v>5342.4827488158226</v>
      </c>
      <c r="V189" s="153">
        <f t="shared" si="48"/>
        <v>10705.033731292846</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110762.85870103142</v>
      </c>
      <c r="AH189" s="153">
        <f t="shared" si="48"/>
        <v>0</v>
      </c>
      <c r="AI189" s="153">
        <f t="shared" si="48"/>
        <v>0</v>
      </c>
      <c r="AJ189" s="153">
        <f t="shared" si="48"/>
        <v>-558.47798439435564</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16.172949264485393</v>
      </c>
      <c r="K193" s="126">
        <f t="shared" si="49"/>
        <v>0</v>
      </c>
      <c r="L193" s="126">
        <f t="shared" si="49"/>
        <v>0</v>
      </c>
      <c r="M193" s="126">
        <f t="shared" si="49"/>
        <v>4.669824675480017</v>
      </c>
      <c r="N193" s="126">
        <f t="shared" si="49"/>
        <v>27.83616825117776</v>
      </c>
      <c r="O193" s="126">
        <f t="shared" si="49"/>
        <v>66.790690511127181</v>
      </c>
      <c r="P193" s="126">
        <f t="shared" si="49"/>
        <v>215.60642814353716</v>
      </c>
      <c r="Q193" s="126">
        <f t="shared" si="49"/>
        <v>0</v>
      </c>
      <c r="R193" s="126">
        <f t="shared" si="49"/>
        <v>0</v>
      </c>
      <c r="S193" s="126">
        <f t="shared" si="49"/>
        <v>207.62948907496147</v>
      </c>
      <c r="T193" s="126">
        <f t="shared" si="49"/>
        <v>395.28815568432248</v>
      </c>
      <c r="U193" s="126">
        <f t="shared" si="49"/>
        <v>599.93681013898481</v>
      </c>
      <c r="V193" s="126">
        <f t="shared" si="49"/>
        <v>1106.5589642276118</v>
      </c>
      <c r="W193" s="126">
        <f t="shared" si="49"/>
        <v>0</v>
      </c>
      <c r="X193" s="126">
        <f t="shared" si="49"/>
        <v>358.40922463409049</v>
      </c>
      <c r="Y193" s="126">
        <f t="shared" si="49"/>
        <v>710.757922183755</v>
      </c>
      <c r="Z193" s="126">
        <f t="shared" si="49"/>
        <v>1119.6128531182801</v>
      </c>
      <c r="AA193" s="126">
        <f t="shared" si="49"/>
        <v>2257.7318237635618</v>
      </c>
      <c r="AB193" s="126">
        <f t="shared" si="49"/>
        <v>0</v>
      </c>
      <c r="AC193" s="126">
        <f t="shared" si="49"/>
        <v>997.49782961125447</v>
      </c>
      <c r="AD193" s="126">
        <f t="shared" si="49"/>
        <v>3743.4916148176849</v>
      </c>
      <c r="AE193" s="126">
        <f t="shared" si="49"/>
        <v>7894.700898178975</v>
      </c>
      <c r="AF193" s="126">
        <f t="shared" si="49"/>
        <v>20114.398374468714</v>
      </c>
      <c r="AG193" s="126">
        <f t="shared" si="49"/>
        <v>20909.952822891308</v>
      </c>
      <c r="AH193" s="126">
        <f t="shared" si="49"/>
        <v>0</v>
      </c>
      <c r="AI193" s="126">
        <f t="shared" si="49"/>
        <v>0</v>
      </c>
      <c r="AJ193" s="126">
        <f t="shared" si="49"/>
        <v>-384.5757502266157</v>
      </c>
      <c r="AK193" s="126">
        <f t="shared" si="49"/>
        <v>0</v>
      </c>
      <c r="AL193" s="126">
        <f t="shared" si="49"/>
        <v>-699.05609880292616</v>
      </c>
      <c r="AM193" s="126">
        <f t="shared" si="49"/>
        <v>0</v>
      </c>
      <c r="AN193" s="126">
        <f t="shared" si="49"/>
        <v>-6205.0608209696247</v>
      </c>
      <c r="AO193" s="126">
        <f t="shared" si="49"/>
        <v>0</v>
      </c>
    </row>
    <row r="194" spans="3:43" x14ac:dyDescent="0.3">
      <c r="C194" s="88"/>
      <c r="F194" t="s">
        <v>157</v>
      </c>
      <c r="G194" s="13" t="s">
        <v>790</v>
      </c>
      <c r="H194" s="102"/>
      <c r="J194" s="98">
        <f t="shared" ref="J194:AO194" si="50" xml:space="preserve"> IF( J$25 &lt;&gt; 0, J$23 * thousand * J74 / hundred / J$25, 0)</f>
        <v>4.6932738065756272</v>
      </c>
      <c r="K194" s="98">
        <f t="shared" si="50"/>
        <v>0</v>
      </c>
      <c r="L194" s="98">
        <f t="shared" si="50"/>
        <v>0</v>
      </c>
      <c r="M194" s="98">
        <f t="shared" si="50"/>
        <v>1.9338352117970183</v>
      </c>
      <c r="N194" s="98">
        <f t="shared" si="50"/>
        <v>11.52731977461241</v>
      </c>
      <c r="O194" s="98">
        <f t="shared" si="50"/>
        <v>27.658894735138631</v>
      </c>
      <c r="P194" s="98">
        <f t="shared" si="50"/>
        <v>89.285429669990194</v>
      </c>
      <c r="Q194" s="98">
        <f t="shared" si="50"/>
        <v>0</v>
      </c>
      <c r="R194" s="98">
        <f t="shared" si="50"/>
        <v>0</v>
      </c>
      <c r="S194" s="98">
        <f t="shared" si="50"/>
        <v>68.004815370740999</v>
      </c>
      <c r="T194" s="98">
        <f t="shared" si="50"/>
        <v>129.46859410634067</v>
      </c>
      <c r="U194" s="98">
        <f t="shared" si="50"/>
        <v>196.49709773587725</v>
      </c>
      <c r="V194" s="98">
        <f t="shared" si="50"/>
        <v>362.43087816860532</v>
      </c>
      <c r="W194" s="98">
        <f t="shared" si="50"/>
        <v>0</v>
      </c>
      <c r="X194" s="98">
        <f t="shared" si="50"/>
        <v>95.157593931602776</v>
      </c>
      <c r="Y194" s="98">
        <f t="shared" si="50"/>
        <v>188.70611885584373</v>
      </c>
      <c r="Z194" s="98">
        <f t="shared" si="50"/>
        <v>297.25704003964091</v>
      </c>
      <c r="AA194" s="98">
        <f t="shared" si="50"/>
        <v>599.42745143204991</v>
      </c>
      <c r="AB194" s="98">
        <f t="shared" si="50"/>
        <v>0</v>
      </c>
      <c r="AC194" s="98">
        <f t="shared" si="50"/>
        <v>195.97760671781876</v>
      </c>
      <c r="AD194" s="98">
        <f t="shared" si="50"/>
        <v>735.48082578395929</v>
      </c>
      <c r="AE194" s="98">
        <f t="shared" si="50"/>
        <v>1551.0656182390892</v>
      </c>
      <c r="AF194" s="98">
        <f t="shared" si="50"/>
        <v>3951.8598807713001</v>
      </c>
      <c r="AG194" s="98">
        <f t="shared" si="50"/>
        <v>21589.053100478068</v>
      </c>
      <c r="AH194" s="98">
        <f t="shared" si="50"/>
        <v>0</v>
      </c>
      <c r="AI194" s="98">
        <f t="shared" si="50"/>
        <v>0</v>
      </c>
      <c r="AJ194" s="98">
        <f t="shared" si="50"/>
        <v>-168.90611386923388</v>
      </c>
      <c r="AK194" s="98">
        <f t="shared" si="50"/>
        <v>0</v>
      </c>
      <c r="AL194" s="98">
        <f t="shared" si="50"/>
        <v>-276.78696197081177</v>
      </c>
      <c r="AM194" s="98">
        <f t="shared" si="50"/>
        <v>0</v>
      </c>
      <c r="AN194" s="98">
        <f t="shared" si="50"/>
        <v>-1722.4615239210038</v>
      </c>
      <c r="AO194" s="98">
        <f t="shared" si="50"/>
        <v>0</v>
      </c>
    </row>
    <row r="195" spans="3:43" x14ac:dyDescent="0.3">
      <c r="C195" s="88"/>
      <c r="F195" t="s">
        <v>158</v>
      </c>
      <c r="G195" s="13" t="s">
        <v>790</v>
      </c>
      <c r="H195" s="102"/>
      <c r="J195" s="98">
        <f t="shared" ref="J195:AO195" si="51" xml:space="preserve"> IF( J$25 &lt;&gt; 0, J$24 * thousand * J75 / hundred / J$25, 0)</f>
        <v>0.50081018996700699</v>
      </c>
      <c r="K195" s="98">
        <f t="shared" si="51"/>
        <v>0</v>
      </c>
      <c r="L195" s="98">
        <f t="shared" si="51"/>
        <v>0</v>
      </c>
      <c r="M195" s="98">
        <f t="shared" si="51"/>
        <v>0.14413777268056321</v>
      </c>
      <c r="N195" s="98">
        <f t="shared" si="51"/>
        <v>0.85918499526403502</v>
      </c>
      <c r="O195" s="98">
        <f t="shared" si="51"/>
        <v>2.0615466393459667</v>
      </c>
      <c r="P195" s="98">
        <f t="shared" si="51"/>
        <v>6.6548601902333537</v>
      </c>
      <c r="Q195" s="98">
        <f t="shared" si="51"/>
        <v>0</v>
      </c>
      <c r="R195" s="98">
        <f t="shared" si="51"/>
        <v>0</v>
      </c>
      <c r="S195" s="98">
        <f t="shared" si="51"/>
        <v>5.3554344836803365</v>
      </c>
      <c r="T195" s="98">
        <f t="shared" si="51"/>
        <v>10.195757015892543</v>
      </c>
      <c r="U195" s="98">
        <f t="shared" si="51"/>
        <v>15.474306156422347</v>
      </c>
      <c r="V195" s="98">
        <f t="shared" si="51"/>
        <v>28.541726233842528</v>
      </c>
      <c r="W195" s="98">
        <f t="shared" si="51"/>
        <v>0</v>
      </c>
      <c r="X195" s="98">
        <f t="shared" si="51"/>
        <v>8.3901238545946697</v>
      </c>
      <c r="Y195" s="98">
        <f t="shared" si="51"/>
        <v>16.638374762380082</v>
      </c>
      <c r="Z195" s="98">
        <f t="shared" si="51"/>
        <v>26.209399371483109</v>
      </c>
      <c r="AA195" s="98">
        <f t="shared" si="51"/>
        <v>52.852014763780822</v>
      </c>
      <c r="AB195" s="98">
        <f t="shared" si="51"/>
        <v>0</v>
      </c>
      <c r="AC195" s="98">
        <f t="shared" si="51"/>
        <v>19.875422923930081</v>
      </c>
      <c r="AD195" s="98">
        <f t="shared" si="51"/>
        <v>74.590116236828322</v>
      </c>
      <c r="AE195" s="98">
        <f t="shared" si="51"/>
        <v>157.30412092263808</v>
      </c>
      <c r="AF195" s="98">
        <f t="shared" si="51"/>
        <v>400.7850069295697</v>
      </c>
      <c r="AG195" s="98">
        <f t="shared" si="51"/>
        <v>33521.322692408801</v>
      </c>
      <c r="AH195" s="98">
        <f t="shared" si="51"/>
        <v>0</v>
      </c>
      <c r="AI195" s="98">
        <f t="shared" si="51"/>
        <v>0</v>
      </c>
      <c r="AJ195" s="98">
        <f t="shared" si="51"/>
        <v>-13.70357239957673</v>
      </c>
      <c r="AK195" s="98">
        <f t="shared" si="51"/>
        <v>0</v>
      </c>
      <c r="AL195" s="98">
        <f t="shared" si="51"/>
        <v>-26.039485623967447</v>
      </c>
      <c r="AM195" s="98">
        <f t="shared" si="51"/>
        <v>0</v>
      </c>
      <c r="AN195" s="98">
        <f t="shared" si="51"/>
        <v>-132.34910378535022</v>
      </c>
      <c r="AO195" s="98">
        <f t="shared" si="51"/>
        <v>0</v>
      </c>
    </row>
    <row r="196" spans="3:43" x14ac:dyDescent="0.3">
      <c r="C196" s="88"/>
      <c r="F196" s="23" t="s">
        <v>159</v>
      </c>
      <c r="G196" s="85" t="s">
        <v>790</v>
      </c>
      <c r="H196" s="218"/>
      <c r="I196" s="23"/>
      <c r="J196" s="126">
        <f t="shared" ref="J196:AO196" si="52" xml:space="preserve"> IF( J$25 &lt;&gt; 0, J$25 * J76 * days_in_year / hundred / J$25, 0)</f>
        <v>65.188999999999993</v>
      </c>
      <c r="K196" s="126">
        <f t="shared" si="52"/>
        <v>0</v>
      </c>
      <c r="L196" s="126">
        <f t="shared" si="52"/>
        <v>0</v>
      </c>
      <c r="M196" s="126">
        <f t="shared" si="52"/>
        <v>24.235999999999997</v>
      </c>
      <c r="N196" s="126">
        <f t="shared" si="52"/>
        <v>64.787499999999994</v>
      </c>
      <c r="O196" s="126">
        <f t="shared" si="52"/>
        <v>133.006</v>
      </c>
      <c r="P196" s="126">
        <f t="shared" si="52"/>
        <v>393.65249999999997</v>
      </c>
      <c r="Q196" s="126">
        <f t="shared" si="52"/>
        <v>0</v>
      </c>
      <c r="R196" s="126">
        <f t="shared" si="52"/>
        <v>0</v>
      </c>
      <c r="S196" s="126">
        <f t="shared" si="52"/>
        <v>551.73400000000004</v>
      </c>
      <c r="T196" s="126">
        <f t="shared" si="52"/>
        <v>1071.4575000000002</v>
      </c>
      <c r="U196" s="126">
        <f t="shared" si="52"/>
        <v>1720.7195000000002</v>
      </c>
      <c r="V196" s="126">
        <f t="shared" si="52"/>
        <v>3755.1564999999996</v>
      </c>
      <c r="W196" s="126">
        <f t="shared" si="52"/>
        <v>0</v>
      </c>
      <c r="X196" s="126">
        <f t="shared" si="52"/>
        <v>900.27249999999992</v>
      </c>
      <c r="Y196" s="126">
        <f t="shared" si="52"/>
        <v>1756.0150000000001</v>
      </c>
      <c r="Z196" s="126">
        <f t="shared" si="52"/>
        <v>2824.9904999999999</v>
      </c>
      <c r="AA196" s="126">
        <f t="shared" si="52"/>
        <v>6174.7049999999999</v>
      </c>
      <c r="AB196" s="126">
        <f t="shared" si="52"/>
        <v>0</v>
      </c>
      <c r="AC196" s="126">
        <f t="shared" si="52"/>
        <v>5119.3804999999993</v>
      </c>
      <c r="AD196" s="126">
        <f t="shared" si="52"/>
        <v>18362.4565</v>
      </c>
      <c r="AE196" s="126">
        <f t="shared" si="52"/>
        <v>38382.450999999994</v>
      </c>
      <c r="AF196" s="126">
        <f t="shared" si="52"/>
        <v>97314.255999999994</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236.9657074114626</v>
      </c>
      <c r="T197" s="98">
        <f t="shared" si="53"/>
        <v>652.26633100098309</v>
      </c>
      <c r="U197" s="98">
        <f t="shared" si="53"/>
        <v>1065.6291552965431</v>
      </c>
      <c r="V197" s="98">
        <f t="shared" si="53"/>
        <v>1968.1039998100644</v>
      </c>
      <c r="W197" s="98">
        <f t="shared" si="53"/>
        <v>0</v>
      </c>
      <c r="X197" s="98">
        <f t="shared" si="53"/>
        <v>488.97182561960517</v>
      </c>
      <c r="Y197" s="98">
        <f t="shared" si="53"/>
        <v>1216.2989015958926</v>
      </c>
      <c r="Z197" s="98">
        <f t="shared" si="53"/>
        <v>1938.0728680549835</v>
      </c>
      <c r="AA197" s="98">
        <f t="shared" si="53"/>
        <v>4004.5359996998041</v>
      </c>
      <c r="AB197" s="98">
        <f t="shared" si="53"/>
        <v>0</v>
      </c>
      <c r="AC197" s="98">
        <f t="shared" si="53"/>
        <v>1651.0273580979199</v>
      </c>
      <c r="AD197" s="98">
        <f t="shared" si="53"/>
        <v>6017.6385624774757</v>
      </c>
      <c r="AE197" s="98">
        <f t="shared" si="53"/>
        <v>12222.702959229111</v>
      </c>
      <c r="AF197" s="98">
        <f t="shared" si="53"/>
        <v>28940.131054769736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11.894506795680318</v>
      </c>
      <c r="T198" s="98">
        <f t="shared" si="54"/>
        <v>32.740544576828377</v>
      </c>
      <c r="U198" s="98">
        <f t="shared" si="54"/>
        <v>53.489314415190705</v>
      </c>
      <c r="V198" s="98">
        <f t="shared" si="54"/>
        <v>98.789089172714796</v>
      </c>
      <c r="W198" s="98">
        <f t="shared" si="54"/>
        <v>0</v>
      </c>
      <c r="X198" s="98">
        <f t="shared" si="54"/>
        <v>13.258251210565675</v>
      </c>
      <c r="Y198" s="98">
        <f t="shared" si="54"/>
        <v>32.979397870335866</v>
      </c>
      <c r="Z198" s="98">
        <f t="shared" si="54"/>
        <v>52.549974462218223</v>
      </c>
      <c r="AA198" s="98">
        <f t="shared" si="54"/>
        <v>108.58119319757591</v>
      </c>
      <c r="AB198" s="98">
        <f t="shared" si="54"/>
        <v>0</v>
      </c>
      <c r="AC198" s="98">
        <f t="shared" si="54"/>
        <v>13.273132221399228</v>
      </c>
      <c r="AD198" s="98">
        <f t="shared" si="54"/>
        <v>48.377703681647404</v>
      </c>
      <c r="AE198" s="98">
        <f t="shared" si="54"/>
        <v>98.262183049248918</v>
      </c>
      <c r="AF198" s="98">
        <f t="shared" si="54"/>
        <v>232.65888606298836</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4.3944652694555533</v>
      </c>
      <c r="T199" s="126">
        <f t="shared" si="55"/>
        <v>8.3662493190201346</v>
      </c>
      <c r="U199" s="126">
        <f t="shared" si="55"/>
        <v>12.697625408459617</v>
      </c>
      <c r="V199" s="126">
        <f t="shared" si="55"/>
        <v>23.420251904330094</v>
      </c>
      <c r="W199" s="126">
        <f t="shared" si="55"/>
        <v>0</v>
      </c>
      <c r="X199" s="126">
        <f t="shared" si="55"/>
        <v>6.1886997790374298</v>
      </c>
      <c r="Y199" s="126">
        <f t="shared" si="55"/>
        <v>12.272751630370069</v>
      </c>
      <c r="Z199" s="126">
        <f t="shared" si="55"/>
        <v>19.332504133437173</v>
      </c>
      <c r="AA199" s="126">
        <f t="shared" si="55"/>
        <v>38.984555861016545</v>
      </c>
      <c r="AB199" s="126">
        <f t="shared" si="55"/>
        <v>0</v>
      </c>
      <c r="AC199" s="126">
        <f t="shared" si="55"/>
        <v>9.739434634092996</v>
      </c>
      <c r="AD199" s="126">
        <f t="shared" si="55"/>
        <v>36.550948587027108</v>
      </c>
      <c r="AE199" s="126">
        <f t="shared" si="55"/>
        <v>77.082797647284096</v>
      </c>
      <c r="AF199" s="126">
        <f t="shared" si="55"/>
        <v>196.39428012449096</v>
      </c>
      <c r="AG199" s="126">
        <f t="shared" si="55"/>
        <v>0</v>
      </c>
      <c r="AH199" s="126">
        <f t="shared" si="55"/>
        <v>0</v>
      </c>
      <c r="AI199" s="126">
        <f t="shared" si="55"/>
        <v>0</v>
      </c>
      <c r="AJ199" s="126">
        <f t="shared" si="55"/>
        <v>8.7074521010706345</v>
      </c>
      <c r="AK199" s="126">
        <f t="shared" si="55"/>
        <v>0</v>
      </c>
      <c r="AL199" s="126">
        <f t="shared" si="55"/>
        <v>18.193481075581555</v>
      </c>
      <c r="AM199" s="126">
        <f t="shared" si="55"/>
        <v>0</v>
      </c>
      <c r="AN199" s="126">
        <f t="shared" si="55"/>
        <v>25.67586220907328</v>
      </c>
      <c r="AO199" s="126">
        <f t="shared" si="55"/>
        <v>0</v>
      </c>
    </row>
    <row r="200" spans="3:43" x14ac:dyDescent="0.3">
      <c r="C200" s="88"/>
      <c r="F200" s="108" t="s">
        <v>100</v>
      </c>
      <c r="G200" s="214" t="s">
        <v>790</v>
      </c>
      <c r="H200" s="219"/>
      <c r="I200" s="108"/>
      <c r="J200" s="153">
        <f t="shared" ref="J200" si="56">SUM(J193:J199)</f>
        <v>86.55603326102802</v>
      </c>
      <c r="K200" s="153">
        <f t="shared" ref="K200:AO200" si="57">SUM(K193:K199)</f>
        <v>0</v>
      </c>
      <c r="L200" s="153">
        <f t="shared" si="57"/>
        <v>0</v>
      </c>
      <c r="M200" s="153">
        <f t="shared" si="57"/>
        <v>30.983797659957595</v>
      </c>
      <c r="N200" s="153">
        <f t="shared" si="57"/>
        <v>105.0101730210542</v>
      </c>
      <c r="O200" s="153">
        <f t="shared" si="57"/>
        <v>229.51713188561178</v>
      </c>
      <c r="P200" s="153">
        <f t="shared" si="57"/>
        <v>705.19921800376073</v>
      </c>
      <c r="Q200" s="153">
        <f t="shared" si="57"/>
        <v>0</v>
      </c>
      <c r="R200" s="153">
        <f t="shared" si="57"/>
        <v>0</v>
      </c>
      <c r="S200" s="153">
        <f t="shared" si="57"/>
        <v>1085.9784184059813</v>
      </c>
      <c r="T200" s="153">
        <f t="shared" si="57"/>
        <v>2299.7831317033874</v>
      </c>
      <c r="U200" s="153">
        <f t="shared" si="57"/>
        <v>3664.443809151478</v>
      </c>
      <c r="V200" s="153">
        <f t="shared" si="57"/>
        <v>7343.0014095171682</v>
      </c>
      <c r="W200" s="153">
        <f t="shared" si="57"/>
        <v>0</v>
      </c>
      <c r="X200" s="153">
        <f t="shared" si="57"/>
        <v>1870.6482190294962</v>
      </c>
      <c r="Y200" s="153">
        <f t="shared" si="57"/>
        <v>3933.6684668985777</v>
      </c>
      <c r="Z200" s="153">
        <f t="shared" si="57"/>
        <v>6278.0251391800439</v>
      </c>
      <c r="AA200" s="153">
        <f t="shared" si="57"/>
        <v>13236.818038717791</v>
      </c>
      <c r="AB200" s="153">
        <f t="shared" si="57"/>
        <v>0</v>
      </c>
      <c r="AC200" s="153">
        <f t="shared" si="57"/>
        <v>8006.7712842064157</v>
      </c>
      <c r="AD200" s="153">
        <f t="shared" si="57"/>
        <v>29018.586271584623</v>
      </c>
      <c r="AE200" s="153">
        <f t="shared" si="57"/>
        <v>60383.569577266346</v>
      </c>
      <c r="AF200" s="153">
        <f t="shared" si="57"/>
        <v>151150.48348312679</v>
      </c>
      <c r="AG200" s="153">
        <f t="shared" si="57"/>
        <v>76020.328615778184</v>
      </c>
      <c r="AH200" s="153">
        <f t="shared" si="57"/>
        <v>0</v>
      </c>
      <c r="AI200" s="153">
        <f t="shared" si="57"/>
        <v>0</v>
      </c>
      <c r="AJ200" s="153">
        <f t="shared" si="57"/>
        <v>-558.47798439435564</v>
      </c>
      <c r="AK200" s="153">
        <f t="shared" si="57"/>
        <v>0</v>
      </c>
      <c r="AL200" s="153">
        <f t="shared" si="57"/>
        <v>-983.68906532212395</v>
      </c>
      <c r="AM200" s="153">
        <f t="shared" si="57"/>
        <v>0</v>
      </c>
      <c r="AN200" s="153">
        <f t="shared" si="57"/>
        <v>-8034.1955864669062</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0.29492597566793854</v>
      </c>
      <c r="K206" s="111">
        <f>IF( AND( ISNUMBER(K$140), K$140 &lt;&gt; 0), ( K$140 - K189 ) / K$140, 0)</f>
        <v>0</v>
      </c>
      <c r="L206" s="111">
        <f t="shared" ref="L206:AK206" si="58">IF( AND( ISNUMBER(L$140), L$140 &lt;&gt; 0), ( L$140 - L189 ) / L$140, 0)</f>
        <v>0</v>
      </c>
      <c r="M206" s="111">
        <f t="shared" si="58"/>
        <v>0.37883892952451681</v>
      </c>
      <c r="N206" s="111">
        <f t="shared" si="58"/>
        <v>0.38032347258599375</v>
      </c>
      <c r="O206" s="111">
        <f t="shared" si="58"/>
        <v>0.38058068836627384</v>
      </c>
      <c r="P206" s="111">
        <f t="shared" si="58"/>
        <v>0.3807324370139315</v>
      </c>
      <c r="Q206" s="111">
        <f t="shared" si="58"/>
        <v>0</v>
      </c>
      <c r="R206" s="111">
        <f t="shared" si="58"/>
        <v>0</v>
      </c>
      <c r="S206" s="111">
        <f t="shared" si="58"/>
        <v>0.38058291980786352</v>
      </c>
      <c r="T206" s="111">
        <f t="shared" si="58"/>
        <v>0.38051025124617677</v>
      </c>
      <c r="U206" s="111">
        <f t="shared" si="58"/>
        <v>0.38050141566776496</v>
      </c>
      <c r="V206" s="111">
        <f t="shared" si="58"/>
        <v>0.3805422210328126</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0.38086213621469978</v>
      </c>
      <c r="AH206" s="111">
        <f t="shared" si="58"/>
        <v>0</v>
      </c>
      <c r="AI206" s="406"/>
      <c r="AJ206" s="111">
        <f t="shared" si="58"/>
        <v>0</v>
      </c>
      <c r="AK206" s="111">
        <f t="shared" si="58"/>
        <v>0</v>
      </c>
      <c r="AL206" s="406"/>
      <c r="AM206" s="406"/>
      <c r="AN206" s="406"/>
      <c r="AO206" s="406"/>
    </row>
    <row r="207" spans="3:43" x14ac:dyDescent="0.3">
      <c r="C207" s="88"/>
      <c r="D207" s="2"/>
      <c r="E207" t="s">
        <v>795</v>
      </c>
      <c r="G207" s="28" t="s">
        <v>167</v>
      </c>
      <c r="J207" s="111">
        <f>IF( AND( ISNUMBER(J$140), J$140 &lt;&gt; 0), ( J$140 - J200 ) / J$140, 0)</f>
        <v>0.44522155472958214</v>
      </c>
      <c r="K207" s="111">
        <f>IF( AND( ISNUMBER(K$140), K$140 &lt;&gt; 0), ( K$140 - K200 ) / K$140, 0)</f>
        <v>0</v>
      </c>
      <c r="L207" s="111">
        <f t="shared" ref="L207:AO207" si="59">IF( AND( ISNUMBER(L$140), L$140 &lt;&gt; 0), ( L$140 - L200 ) / L$140, 0)</f>
        <v>0</v>
      </c>
      <c r="M207" s="111">
        <f t="shared" si="59"/>
        <v>0.57214672126371902</v>
      </c>
      <c r="N207" s="111">
        <f t="shared" si="59"/>
        <v>0.57429101702603547</v>
      </c>
      <c r="O207" s="111">
        <f t="shared" si="59"/>
        <v>0.5746939878143551</v>
      </c>
      <c r="P207" s="111">
        <f t="shared" si="59"/>
        <v>0.57489763513075176</v>
      </c>
      <c r="Q207" s="111">
        <f t="shared" si="59"/>
        <v>0</v>
      </c>
      <c r="R207" s="111">
        <f t="shared" si="59"/>
        <v>0</v>
      </c>
      <c r="S207" s="111">
        <f t="shared" si="59"/>
        <v>0.57500095994810319</v>
      </c>
      <c r="T207" s="111">
        <f t="shared" si="59"/>
        <v>0.57507084614098558</v>
      </c>
      <c r="U207" s="111">
        <f t="shared" si="59"/>
        <v>0.57508187506313568</v>
      </c>
      <c r="V207" s="111">
        <f t="shared" si="59"/>
        <v>0.57508967666343935</v>
      </c>
      <c r="W207" s="111">
        <f t="shared" si="59"/>
        <v>0</v>
      </c>
      <c r="X207" s="111">
        <f t="shared" si="59"/>
        <v>0.30006630824904146</v>
      </c>
      <c r="Y207" s="111">
        <f t="shared" si="59"/>
        <v>0.30002568619421721</v>
      </c>
      <c r="Z207" s="111">
        <f t="shared" si="59"/>
        <v>0.30003134899779837</v>
      </c>
      <c r="AA207" s="111">
        <f t="shared" si="59"/>
        <v>0.3000420114928154</v>
      </c>
      <c r="AB207" s="111">
        <f t="shared" si="59"/>
        <v>0</v>
      </c>
      <c r="AC207" s="111">
        <f t="shared" si="59"/>
        <v>0.17088432068983866</v>
      </c>
      <c r="AD207" s="111">
        <f t="shared" si="59"/>
        <v>0.17088707316267288</v>
      </c>
      <c r="AE207" s="111">
        <f t="shared" si="59"/>
        <v>0.17087603445458061</v>
      </c>
      <c r="AF207" s="111">
        <f t="shared" si="59"/>
        <v>0.17085174121216126</v>
      </c>
      <c r="AG207" s="111">
        <f t="shared" si="59"/>
        <v>0.57506456211579204</v>
      </c>
      <c r="AH207" s="111">
        <f t="shared" si="59"/>
        <v>0</v>
      </c>
      <c r="AI207" s="111">
        <f t="shared" si="59"/>
        <v>0</v>
      </c>
      <c r="AJ207" s="111">
        <f t="shared" si="59"/>
        <v>0</v>
      </c>
      <c r="AK207" s="111">
        <f t="shared" si="59"/>
        <v>0</v>
      </c>
      <c r="AL207" s="111">
        <f t="shared" si="59"/>
        <v>-2.3114384764333548E-16</v>
      </c>
      <c r="AM207" s="111">
        <f t="shared" si="59"/>
        <v>0</v>
      </c>
      <c r="AN207" s="111">
        <f t="shared" si="59"/>
        <v>-2.983078223391903E-2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21" activePane="bottomRight" state="frozen"/>
      <selection pane="topRight"/>
      <selection pane="bottomLeft"/>
      <selection pane="bottomRight" activeCell="J30" sqref="J30:P34"/>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South West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14.404999999999999</v>
      </c>
      <c r="K16" s="220">
        <v>0.72399999999999998</v>
      </c>
      <c r="L16" s="220">
        <v>6.9000000000000006E-2</v>
      </c>
      <c r="M16" s="388">
        <v>28.97</v>
      </c>
      <c r="N16" s="221">
        <v>0</v>
      </c>
      <c r="O16" s="221">
        <v>0</v>
      </c>
      <c r="P16" s="220">
        <v>0</v>
      </c>
    </row>
    <row r="17" spans="6:16" x14ac:dyDescent="0.3">
      <c r="F17" t="s">
        <v>831</v>
      </c>
      <c r="H17" t="s">
        <v>773</v>
      </c>
      <c r="J17" s="222">
        <v>14.404999999999999</v>
      </c>
      <c r="K17" s="222">
        <v>0.72399999999999998</v>
      </c>
      <c r="L17" s="222">
        <v>6.9000000000000006E-2</v>
      </c>
      <c r="M17" s="389">
        <v>0</v>
      </c>
      <c r="N17" s="223">
        <v>0</v>
      </c>
      <c r="O17" s="223">
        <v>0</v>
      </c>
      <c r="P17" s="222">
        <v>0</v>
      </c>
    </row>
    <row r="18" spans="6:16" x14ac:dyDescent="0.3">
      <c r="F18" t="s">
        <v>914</v>
      </c>
      <c r="H18" t="s">
        <v>773</v>
      </c>
      <c r="J18" s="222">
        <v>13.054</v>
      </c>
      <c r="K18" s="222">
        <v>0.65600000000000003</v>
      </c>
      <c r="L18" s="222">
        <v>6.2E-2</v>
      </c>
      <c r="M18" s="389">
        <v>10.220000000000001</v>
      </c>
      <c r="N18" s="223">
        <v>0</v>
      </c>
      <c r="O18" s="223">
        <v>0</v>
      </c>
      <c r="P18" s="222">
        <v>0</v>
      </c>
    </row>
    <row r="19" spans="6:16" x14ac:dyDescent="0.3">
      <c r="F19" t="s">
        <v>915</v>
      </c>
      <c r="H19" t="s">
        <v>773</v>
      </c>
      <c r="J19" s="222">
        <v>13.054</v>
      </c>
      <c r="K19" s="222">
        <v>0.65600000000000003</v>
      </c>
      <c r="L19" s="222">
        <v>6.2E-2</v>
      </c>
      <c r="M19" s="389">
        <v>15.49</v>
      </c>
      <c r="N19" s="223">
        <v>0</v>
      </c>
      <c r="O19" s="223">
        <v>0</v>
      </c>
      <c r="P19" s="222">
        <v>0</v>
      </c>
    </row>
    <row r="20" spans="6:16" x14ac:dyDescent="0.3">
      <c r="F20" t="s">
        <v>916</v>
      </c>
      <c r="H20" t="s">
        <v>773</v>
      </c>
      <c r="J20" s="222">
        <v>13.054</v>
      </c>
      <c r="K20" s="222">
        <v>0.65600000000000003</v>
      </c>
      <c r="L20" s="222">
        <v>6.2E-2</v>
      </c>
      <c r="M20" s="389">
        <v>41.65</v>
      </c>
      <c r="N20" s="223">
        <v>0</v>
      </c>
      <c r="O20" s="223">
        <v>0</v>
      </c>
      <c r="P20" s="222">
        <v>0</v>
      </c>
    </row>
    <row r="21" spans="6:16" x14ac:dyDescent="0.3">
      <c r="F21" t="s">
        <v>917</v>
      </c>
      <c r="H21" t="s">
        <v>773</v>
      </c>
      <c r="J21" s="222">
        <v>13.054</v>
      </c>
      <c r="K21" s="222">
        <v>0.65600000000000003</v>
      </c>
      <c r="L21" s="222">
        <v>6.2E-2</v>
      </c>
      <c r="M21" s="389">
        <v>85.63</v>
      </c>
      <c r="N21" s="223">
        <v>0</v>
      </c>
      <c r="O21" s="223">
        <v>0</v>
      </c>
      <c r="P21" s="222">
        <v>0</v>
      </c>
    </row>
    <row r="22" spans="6:16" x14ac:dyDescent="0.3">
      <c r="F22" t="s">
        <v>918</v>
      </c>
      <c r="H22" t="s">
        <v>773</v>
      </c>
      <c r="J22" s="222">
        <v>13.054</v>
      </c>
      <c r="K22" s="222">
        <v>0.65600000000000003</v>
      </c>
      <c r="L22" s="222">
        <v>6.2E-2</v>
      </c>
      <c r="M22" s="389">
        <v>253.64</v>
      </c>
      <c r="N22" s="223">
        <v>0</v>
      </c>
      <c r="O22" s="223">
        <v>0</v>
      </c>
      <c r="P22" s="222">
        <v>0</v>
      </c>
    </row>
    <row r="23" spans="6:16" x14ac:dyDescent="0.3">
      <c r="F23" t="s">
        <v>832</v>
      </c>
      <c r="H23" t="s">
        <v>773</v>
      </c>
      <c r="J23" s="222">
        <v>13.054</v>
      </c>
      <c r="K23" s="222">
        <v>0.65600000000000003</v>
      </c>
      <c r="L23" s="222">
        <v>6.2E-2</v>
      </c>
      <c r="M23" s="389">
        <v>0</v>
      </c>
      <c r="N23" s="223">
        <v>0</v>
      </c>
      <c r="O23" s="223">
        <v>0</v>
      </c>
      <c r="P23" s="222">
        <v>0</v>
      </c>
    </row>
    <row r="24" spans="6:16" x14ac:dyDescent="0.3">
      <c r="F24" t="s">
        <v>919</v>
      </c>
      <c r="H24" t="s">
        <v>773</v>
      </c>
      <c r="J24" s="222">
        <v>8.407</v>
      </c>
      <c r="K24" s="222">
        <v>0.38300000000000001</v>
      </c>
      <c r="L24" s="222">
        <v>3.5999999999999997E-2</v>
      </c>
      <c r="M24" s="389">
        <v>14.23</v>
      </c>
      <c r="N24" s="223">
        <v>3.98</v>
      </c>
      <c r="O24" s="223">
        <v>8.3000000000000007</v>
      </c>
      <c r="P24" s="222">
        <v>0.11700000000000001</v>
      </c>
    </row>
    <row r="25" spans="6:16" x14ac:dyDescent="0.3">
      <c r="F25" t="s">
        <v>920</v>
      </c>
      <c r="H25" t="s">
        <v>773</v>
      </c>
      <c r="J25" s="222">
        <v>8.407</v>
      </c>
      <c r="K25" s="222">
        <v>0.38300000000000001</v>
      </c>
      <c r="L25" s="222">
        <v>3.5999999999999997E-2</v>
      </c>
      <c r="M25" s="389">
        <v>355.55</v>
      </c>
      <c r="N25" s="223">
        <v>3.98</v>
      </c>
      <c r="O25" s="223">
        <v>8.3000000000000007</v>
      </c>
      <c r="P25" s="222">
        <v>0.11700000000000001</v>
      </c>
    </row>
    <row r="26" spans="6:16" x14ac:dyDescent="0.3">
      <c r="F26" t="s">
        <v>921</v>
      </c>
      <c r="H26" t="s">
        <v>773</v>
      </c>
      <c r="J26" s="222">
        <v>8.407</v>
      </c>
      <c r="K26" s="222">
        <v>0.38300000000000001</v>
      </c>
      <c r="L26" s="222">
        <v>3.5999999999999997E-2</v>
      </c>
      <c r="M26" s="389">
        <v>690.61</v>
      </c>
      <c r="N26" s="223">
        <v>3.98</v>
      </c>
      <c r="O26" s="223">
        <v>8.3000000000000007</v>
      </c>
      <c r="P26" s="222">
        <v>0.11700000000000001</v>
      </c>
    </row>
    <row r="27" spans="6:16" x14ac:dyDescent="0.3">
      <c r="F27" t="s">
        <v>922</v>
      </c>
      <c r="H27" t="s">
        <v>773</v>
      </c>
      <c r="J27" s="222">
        <v>8.407</v>
      </c>
      <c r="K27" s="222">
        <v>0.38300000000000001</v>
      </c>
      <c r="L27" s="222">
        <v>3.5999999999999997E-2</v>
      </c>
      <c r="M27" s="389">
        <v>1109.1400000000001</v>
      </c>
      <c r="N27" s="223">
        <v>3.98</v>
      </c>
      <c r="O27" s="223">
        <v>8.3000000000000007</v>
      </c>
      <c r="P27" s="222">
        <v>0.11700000000000001</v>
      </c>
    </row>
    <row r="28" spans="6:16" x14ac:dyDescent="0.3">
      <c r="F28" t="s">
        <v>923</v>
      </c>
      <c r="H28" t="s">
        <v>773</v>
      </c>
      <c r="J28" s="222">
        <v>8.407</v>
      </c>
      <c r="K28" s="222">
        <v>0.38300000000000001</v>
      </c>
      <c r="L28" s="222">
        <v>3.5999999999999997E-2</v>
      </c>
      <c r="M28" s="389">
        <v>2420.69</v>
      </c>
      <c r="N28" s="223">
        <v>3.98</v>
      </c>
      <c r="O28" s="223">
        <v>8.3000000000000007</v>
      </c>
      <c r="P28" s="222">
        <v>0.11700000000000001</v>
      </c>
    </row>
    <row r="29" spans="6:16" x14ac:dyDescent="0.3">
      <c r="F29" t="s">
        <v>924</v>
      </c>
      <c r="H29" t="s">
        <v>773</v>
      </c>
      <c r="J29" s="222">
        <v>6.5529999999999999</v>
      </c>
      <c r="K29" s="222">
        <v>0.23599999999999999</v>
      </c>
      <c r="L29" s="222">
        <v>2.1999999999999999E-2</v>
      </c>
      <c r="M29" s="389">
        <v>11.13</v>
      </c>
      <c r="N29" s="223">
        <v>3.61</v>
      </c>
      <c r="O29" s="223">
        <v>6.88</v>
      </c>
      <c r="P29" s="222">
        <v>0.08</v>
      </c>
    </row>
    <row r="30" spans="6:16" x14ac:dyDescent="0.3">
      <c r="F30" t="s">
        <v>925</v>
      </c>
      <c r="H30" t="s">
        <v>773</v>
      </c>
      <c r="J30" s="222">
        <v>6.5529999999999999</v>
      </c>
      <c r="K30" s="222">
        <v>0.23599999999999999</v>
      </c>
      <c r="L30" s="222">
        <v>2.1999999999999999E-2</v>
      </c>
      <c r="M30" s="389">
        <v>352.45</v>
      </c>
      <c r="N30" s="223">
        <v>3.61</v>
      </c>
      <c r="O30" s="223">
        <v>6.88</v>
      </c>
      <c r="P30" s="222">
        <v>0.08</v>
      </c>
    </row>
    <row r="31" spans="6:16" x14ac:dyDescent="0.3">
      <c r="F31" s="311" t="s">
        <v>926</v>
      </c>
      <c r="G31" s="311"/>
      <c r="H31" s="311" t="s">
        <v>773</v>
      </c>
      <c r="I31" s="311"/>
      <c r="J31" s="346">
        <v>6.5529999999999999</v>
      </c>
      <c r="K31" s="346">
        <v>0.23599999999999999</v>
      </c>
      <c r="L31" s="346">
        <v>2.1999999999999999E-2</v>
      </c>
      <c r="M31" s="390">
        <v>687.5</v>
      </c>
      <c r="N31" s="347">
        <v>3.61</v>
      </c>
      <c r="O31" s="347">
        <v>6.88</v>
      </c>
      <c r="P31" s="346">
        <v>0.08</v>
      </c>
    </row>
    <row r="32" spans="6:16" x14ac:dyDescent="0.3">
      <c r="F32" s="311" t="s">
        <v>927</v>
      </c>
      <c r="G32" s="311"/>
      <c r="H32" s="311" t="s">
        <v>773</v>
      </c>
      <c r="I32" s="311"/>
      <c r="J32" s="346">
        <v>6.5529999999999999</v>
      </c>
      <c r="K32" s="346">
        <v>0.23599999999999999</v>
      </c>
      <c r="L32" s="346">
        <v>2.1999999999999999E-2</v>
      </c>
      <c r="M32" s="390">
        <v>1106.04</v>
      </c>
      <c r="N32" s="347">
        <v>3.61</v>
      </c>
      <c r="O32" s="347">
        <v>6.88</v>
      </c>
      <c r="P32" s="346">
        <v>0.08</v>
      </c>
    </row>
    <row r="33" spans="6:16" x14ac:dyDescent="0.3">
      <c r="F33" s="311" t="s">
        <v>928</v>
      </c>
      <c r="G33" s="311"/>
      <c r="H33" s="311" t="s">
        <v>773</v>
      </c>
      <c r="I33" s="311"/>
      <c r="J33" s="346">
        <v>6.5529999999999999</v>
      </c>
      <c r="K33" s="346">
        <v>0.23599999999999999</v>
      </c>
      <c r="L33" s="346">
        <v>2.1999999999999999E-2</v>
      </c>
      <c r="M33" s="390">
        <v>2417.59</v>
      </c>
      <c r="N33" s="347">
        <v>3.61</v>
      </c>
      <c r="O33" s="347">
        <v>6.88</v>
      </c>
      <c r="P33" s="346">
        <v>0.08</v>
      </c>
    </row>
    <row r="34" spans="6:16" x14ac:dyDescent="0.3">
      <c r="F34" s="311" t="s">
        <v>929</v>
      </c>
      <c r="G34" s="311"/>
      <c r="H34" s="311" t="s">
        <v>773</v>
      </c>
      <c r="I34" s="311"/>
      <c r="J34" s="346">
        <v>4.8029999999999999</v>
      </c>
      <c r="K34" s="346">
        <v>0.13100000000000001</v>
      </c>
      <c r="L34" s="346">
        <v>1.2E-2</v>
      </c>
      <c r="M34" s="390">
        <v>101.97</v>
      </c>
      <c r="N34" s="347">
        <v>3.07</v>
      </c>
      <c r="O34" s="347">
        <v>6.78</v>
      </c>
      <c r="P34" s="346">
        <v>5.2999999999999999E-2</v>
      </c>
    </row>
    <row r="35" spans="6:16" x14ac:dyDescent="0.3">
      <c r="F35" s="311" t="s">
        <v>930</v>
      </c>
      <c r="G35" s="311"/>
      <c r="H35" s="311" t="s">
        <v>773</v>
      </c>
      <c r="I35" s="311"/>
      <c r="J35" s="346">
        <v>4.8029999999999999</v>
      </c>
      <c r="K35" s="346">
        <v>0.13100000000000001</v>
      </c>
      <c r="L35" s="346">
        <v>1.2E-2</v>
      </c>
      <c r="M35" s="390">
        <v>1690.9</v>
      </c>
      <c r="N35" s="347">
        <v>3.07</v>
      </c>
      <c r="O35" s="347">
        <v>6.78</v>
      </c>
      <c r="P35" s="346">
        <v>5.2999999999999999E-2</v>
      </c>
    </row>
    <row r="36" spans="6:16" x14ac:dyDescent="0.3">
      <c r="F36" s="311" t="s">
        <v>931</v>
      </c>
      <c r="G36" s="311"/>
      <c r="H36" s="311" t="s">
        <v>773</v>
      </c>
      <c r="I36" s="311"/>
      <c r="J36" s="346">
        <v>4.8029999999999999</v>
      </c>
      <c r="K36" s="346">
        <v>0.13100000000000001</v>
      </c>
      <c r="L36" s="346">
        <v>1.2E-2</v>
      </c>
      <c r="M36" s="390">
        <v>6065.04</v>
      </c>
      <c r="N36" s="347">
        <v>3.07</v>
      </c>
      <c r="O36" s="347">
        <v>6.78</v>
      </c>
      <c r="P36" s="346">
        <v>5.2999999999999999E-2</v>
      </c>
    </row>
    <row r="37" spans="6:16" x14ac:dyDescent="0.3">
      <c r="F37" s="311" t="s">
        <v>932</v>
      </c>
      <c r="G37" s="311"/>
      <c r="H37" s="311" t="s">
        <v>773</v>
      </c>
      <c r="I37" s="311"/>
      <c r="J37" s="346">
        <v>4.8029999999999999</v>
      </c>
      <c r="K37" s="346">
        <v>0.13100000000000001</v>
      </c>
      <c r="L37" s="346">
        <v>1.2E-2</v>
      </c>
      <c r="M37" s="390">
        <v>12677.57</v>
      </c>
      <c r="N37" s="347">
        <v>3.07</v>
      </c>
      <c r="O37" s="347">
        <v>6.78</v>
      </c>
      <c r="P37" s="346">
        <v>5.2999999999999999E-2</v>
      </c>
    </row>
    <row r="38" spans="6:16" x14ac:dyDescent="0.3">
      <c r="F38" s="311" t="s">
        <v>933</v>
      </c>
      <c r="G38" s="311"/>
      <c r="H38" s="311" t="s">
        <v>773</v>
      </c>
      <c r="I38" s="311"/>
      <c r="J38" s="346">
        <v>4.8029999999999999</v>
      </c>
      <c r="K38" s="346">
        <v>0.13100000000000001</v>
      </c>
      <c r="L38" s="346">
        <v>1.2E-2</v>
      </c>
      <c r="M38" s="390">
        <v>32142.53</v>
      </c>
      <c r="N38" s="347">
        <v>3.07</v>
      </c>
      <c r="O38" s="347">
        <v>6.78</v>
      </c>
      <c r="P38" s="346">
        <v>5.2999999999999999E-2</v>
      </c>
    </row>
    <row r="39" spans="6:16" x14ac:dyDescent="0.3">
      <c r="F39" s="311" t="s">
        <v>841</v>
      </c>
      <c r="G39" s="311"/>
      <c r="H39" s="311" t="s">
        <v>773</v>
      </c>
      <c r="I39" s="311"/>
      <c r="J39" s="346">
        <v>38.11</v>
      </c>
      <c r="K39" s="346">
        <v>3.4180000000000001</v>
      </c>
      <c r="L39" s="346">
        <v>2.5</v>
      </c>
      <c r="M39" s="390">
        <v>0</v>
      </c>
      <c r="N39" s="347">
        <v>0</v>
      </c>
      <c r="O39" s="347">
        <v>0</v>
      </c>
      <c r="P39" s="346">
        <v>0</v>
      </c>
    </row>
    <row r="40" spans="6:16" x14ac:dyDescent="0.3">
      <c r="F40" s="311" t="s">
        <v>833</v>
      </c>
      <c r="G40" s="311"/>
      <c r="H40" s="311" t="s">
        <v>773</v>
      </c>
      <c r="I40" s="311"/>
      <c r="J40" s="346">
        <v>-8.5660000000000007</v>
      </c>
      <c r="K40" s="346">
        <v>-0.43</v>
      </c>
      <c r="L40" s="346">
        <v>-4.1000000000000002E-2</v>
      </c>
      <c r="M40" s="390">
        <v>0</v>
      </c>
      <c r="N40" s="347">
        <v>0</v>
      </c>
      <c r="O40" s="347">
        <v>0</v>
      </c>
      <c r="P40" s="346">
        <v>0</v>
      </c>
    </row>
    <row r="41" spans="6:16" x14ac:dyDescent="0.3">
      <c r="F41" s="311" t="s">
        <v>834</v>
      </c>
      <c r="G41" s="311"/>
      <c r="H41" s="311" t="s">
        <v>773</v>
      </c>
      <c r="I41" s="311"/>
      <c r="J41" s="346">
        <v>-7.7569999999999997</v>
      </c>
      <c r="K41" s="346">
        <v>-0.36699999999999999</v>
      </c>
      <c r="L41" s="346">
        <v>-3.5000000000000003E-2</v>
      </c>
      <c r="M41" s="390">
        <v>0</v>
      </c>
      <c r="N41" s="347">
        <v>0</v>
      </c>
      <c r="O41" s="347">
        <v>0</v>
      </c>
      <c r="P41" s="346">
        <v>0</v>
      </c>
    </row>
    <row r="42" spans="6:16" x14ac:dyDescent="0.3">
      <c r="F42" s="311" t="s">
        <v>835</v>
      </c>
      <c r="G42" s="311"/>
      <c r="H42" s="311" t="s">
        <v>773</v>
      </c>
      <c r="I42" s="311"/>
      <c r="J42" s="346">
        <v>-8.5660000000000007</v>
      </c>
      <c r="K42" s="346">
        <v>-0.43</v>
      </c>
      <c r="L42" s="346">
        <v>-4.1000000000000002E-2</v>
      </c>
      <c r="M42" s="390">
        <v>0</v>
      </c>
      <c r="N42" s="347">
        <v>0</v>
      </c>
      <c r="O42" s="347">
        <v>0</v>
      </c>
      <c r="P42" s="346">
        <v>0.128</v>
      </c>
    </row>
    <row r="43" spans="6:16" x14ac:dyDescent="0.3">
      <c r="F43" s="311" t="s">
        <v>844</v>
      </c>
      <c r="G43" s="311"/>
      <c r="H43" s="311" t="s">
        <v>773</v>
      </c>
      <c r="I43" s="311"/>
      <c r="J43" s="346">
        <v>-8.5660000000000007</v>
      </c>
      <c r="K43" s="346">
        <v>-0.43</v>
      </c>
      <c r="L43" s="346">
        <v>-4.1000000000000002E-2</v>
      </c>
      <c r="M43" s="390">
        <v>0</v>
      </c>
      <c r="N43" s="347">
        <v>0</v>
      </c>
      <c r="O43" s="347">
        <v>0</v>
      </c>
      <c r="P43" s="346">
        <v>0</v>
      </c>
    </row>
    <row r="44" spans="6:16" x14ac:dyDescent="0.3">
      <c r="F44" s="311" t="s">
        <v>836</v>
      </c>
      <c r="G44" s="311"/>
      <c r="H44" s="311" t="s">
        <v>773</v>
      </c>
      <c r="I44" s="311"/>
      <c r="J44" s="346">
        <v>-7.7569999999999997</v>
      </c>
      <c r="K44" s="346">
        <v>-0.36699999999999999</v>
      </c>
      <c r="L44" s="346">
        <v>-3.5000000000000003E-2</v>
      </c>
      <c r="M44" s="390">
        <v>0</v>
      </c>
      <c r="N44" s="347">
        <v>0</v>
      </c>
      <c r="O44" s="347">
        <v>0</v>
      </c>
      <c r="P44" s="346">
        <v>0.10299999999999999</v>
      </c>
    </row>
    <row r="45" spans="6:16" x14ac:dyDescent="0.3">
      <c r="F45" s="311" t="s">
        <v>843</v>
      </c>
      <c r="G45" s="311"/>
      <c r="H45" s="311" t="s">
        <v>773</v>
      </c>
      <c r="I45" s="311"/>
      <c r="J45" s="346">
        <v>-7.7569999999999997</v>
      </c>
      <c r="K45" s="346">
        <v>-0.36699999999999999</v>
      </c>
      <c r="L45" s="346">
        <v>-3.5000000000000003E-2</v>
      </c>
      <c r="M45" s="390">
        <v>0</v>
      </c>
      <c r="N45" s="347">
        <v>0</v>
      </c>
      <c r="O45" s="347">
        <v>0</v>
      </c>
      <c r="P45" s="346">
        <v>0</v>
      </c>
    </row>
    <row r="46" spans="6:16" x14ac:dyDescent="0.3">
      <c r="F46" s="311" t="s">
        <v>837</v>
      </c>
      <c r="G46" s="311"/>
      <c r="H46" s="311" t="s">
        <v>773</v>
      </c>
      <c r="I46" s="311"/>
      <c r="J46" s="346">
        <v>-5.2249999999999996</v>
      </c>
      <c r="K46" s="346">
        <v>-0.17100000000000001</v>
      </c>
      <c r="L46" s="346">
        <v>-1.6E-2</v>
      </c>
      <c r="M46" s="390">
        <v>63.76</v>
      </c>
      <c r="N46" s="347">
        <v>0</v>
      </c>
      <c r="O46" s="347">
        <v>0</v>
      </c>
      <c r="P46" s="346">
        <v>7.9000000000000001E-2</v>
      </c>
    </row>
    <row r="47" spans="6:16" x14ac:dyDescent="0.3">
      <c r="F47" s="37" t="s">
        <v>842</v>
      </c>
      <c r="G47" s="37"/>
      <c r="H47" s="37" t="s">
        <v>773</v>
      </c>
      <c r="I47" s="37"/>
      <c r="J47" s="224">
        <v>-5.2249999999999996</v>
      </c>
      <c r="K47" s="224">
        <v>-0.17100000000000001</v>
      </c>
      <c r="L47" s="224">
        <v>-1.6E-2</v>
      </c>
      <c r="M47" s="391">
        <v>63.76</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8.9179999999999993</v>
      </c>
      <c r="K50" s="220">
        <v>0.44800000000000001</v>
      </c>
      <c r="L50" s="220">
        <v>4.2999999999999997E-2</v>
      </c>
      <c r="M50" s="388">
        <v>21.61</v>
      </c>
      <c r="N50" s="221">
        <v>0</v>
      </c>
      <c r="O50" s="221">
        <v>0</v>
      </c>
      <c r="P50" s="220">
        <v>0</v>
      </c>
    </row>
    <row r="51" spans="4:16" x14ac:dyDescent="0.3">
      <c r="F51" t="s">
        <v>831</v>
      </c>
      <c r="H51" t="s">
        <v>448</v>
      </c>
      <c r="J51" s="222">
        <v>8.9179999999999993</v>
      </c>
      <c r="K51" s="222">
        <v>0.44800000000000001</v>
      </c>
      <c r="L51" s="222">
        <v>4.2999999999999997E-2</v>
      </c>
      <c r="M51" s="389">
        <v>0</v>
      </c>
      <c r="N51" s="223">
        <v>0</v>
      </c>
      <c r="O51" s="223">
        <v>0</v>
      </c>
      <c r="P51" s="222">
        <v>0</v>
      </c>
    </row>
    <row r="52" spans="4:16" x14ac:dyDescent="0.3">
      <c r="F52" t="s">
        <v>914</v>
      </c>
      <c r="H52" t="s">
        <v>448</v>
      </c>
      <c r="J52" s="222">
        <v>8.0820000000000007</v>
      </c>
      <c r="K52" s="222">
        <v>0.40600000000000003</v>
      </c>
      <c r="L52" s="222">
        <v>3.9E-2</v>
      </c>
      <c r="M52" s="389">
        <v>6.36</v>
      </c>
      <c r="N52" s="223">
        <v>0</v>
      </c>
      <c r="O52" s="223">
        <v>0</v>
      </c>
      <c r="P52" s="222">
        <v>0</v>
      </c>
    </row>
    <row r="53" spans="4:16" x14ac:dyDescent="0.3">
      <c r="F53" t="s">
        <v>915</v>
      </c>
      <c r="H53" t="s">
        <v>448</v>
      </c>
      <c r="J53" s="222">
        <v>8.0820000000000007</v>
      </c>
      <c r="K53" s="222">
        <v>0.40600000000000003</v>
      </c>
      <c r="L53" s="222">
        <v>3.9E-2</v>
      </c>
      <c r="M53" s="389">
        <v>9.6300000000000008</v>
      </c>
      <c r="N53" s="223">
        <v>0</v>
      </c>
      <c r="O53" s="223">
        <v>0</v>
      </c>
      <c r="P53" s="222">
        <v>0</v>
      </c>
    </row>
    <row r="54" spans="4:16" x14ac:dyDescent="0.3">
      <c r="F54" t="s">
        <v>916</v>
      </c>
      <c r="H54" t="s">
        <v>448</v>
      </c>
      <c r="J54" s="222">
        <v>8.0820000000000007</v>
      </c>
      <c r="K54" s="222">
        <v>0.40600000000000003</v>
      </c>
      <c r="L54" s="222">
        <v>3.9E-2</v>
      </c>
      <c r="M54" s="389">
        <v>25.82</v>
      </c>
      <c r="N54" s="223">
        <v>0</v>
      </c>
      <c r="O54" s="223">
        <v>0</v>
      </c>
      <c r="P54" s="222">
        <v>0</v>
      </c>
    </row>
    <row r="55" spans="4:16" x14ac:dyDescent="0.3">
      <c r="F55" t="s">
        <v>917</v>
      </c>
      <c r="H55" t="s">
        <v>448</v>
      </c>
      <c r="J55" s="222">
        <v>8.0820000000000007</v>
      </c>
      <c r="K55" s="222">
        <v>0.40600000000000003</v>
      </c>
      <c r="L55" s="222">
        <v>3.9E-2</v>
      </c>
      <c r="M55" s="389">
        <v>53.05</v>
      </c>
      <c r="N55" s="223">
        <v>0</v>
      </c>
      <c r="O55" s="223">
        <v>0</v>
      </c>
      <c r="P55" s="222">
        <v>0</v>
      </c>
    </row>
    <row r="56" spans="4:16" x14ac:dyDescent="0.3">
      <c r="F56" t="s">
        <v>918</v>
      </c>
      <c r="H56" t="s">
        <v>448</v>
      </c>
      <c r="J56" s="222">
        <v>8.0820000000000007</v>
      </c>
      <c r="K56" s="222">
        <v>0.40600000000000003</v>
      </c>
      <c r="L56" s="222">
        <v>3.9E-2</v>
      </c>
      <c r="M56" s="389">
        <v>157.07</v>
      </c>
      <c r="N56" s="223">
        <v>0</v>
      </c>
      <c r="O56" s="223">
        <v>0</v>
      </c>
      <c r="P56" s="222">
        <v>0</v>
      </c>
    </row>
    <row r="57" spans="4:16" x14ac:dyDescent="0.3">
      <c r="F57" t="s">
        <v>832</v>
      </c>
      <c r="H57" t="s">
        <v>448</v>
      </c>
      <c r="J57" s="222">
        <v>8.0820000000000007</v>
      </c>
      <c r="K57" s="222">
        <v>0.40600000000000003</v>
      </c>
      <c r="L57" s="222">
        <v>3.9E-2</v>
      </c>
      <c r="M57" s="389">
        <v>0</v>
      </c>
      <c r="N57" s="223">
        <v>0</v>
      </c>
      <c r="O57" s="223">
        <v>0</v>
      </c>
      <c r="P57" s="222">
        <v>0</v>
      </c>
    </row>
    <row r="58" spans="4:16" x14ac:dyDescent="0.3">
      <c r="F58" t="s">
        <v>919</v>
      </c>
      <c r="H58" t="s">
        <v>448</v>
      </c>
      <c r="J58" s="222">
        <v>5.2050000000000001</v>
      </c>
      <c r="K58" s="222">
        <v>0.23699999999999999</v>
      </c>
      <c r="L58" s="222">
        <v>2.1999999999999999E-2</v>
      </c>
      <c r="M58" s="389">
        <v>8.85</v>
      </c>
      <c r="N58" s="223">
        <v>2.4700000000000002</v>
      </c>
      <c r="O58" s="223">
        <v>5.14</v>
      </c>
      <c r="P58" s="222">
        <v>7.1999999999999995E-2</v>
      </c>
    </row>
    <row r="59" spans="4:16" x14ac:dyDescent="0.3">
      <c r="F59" t="s">
        <v>920</v>
      </c>
      <c r="H59" t="s">
        <v>448</v>
      </c>
      <c r="J59" s="222">
        <v>5.2050000000000001</v>
      </c>
      <c r="K59" s="222">
        <v>0.23699999999999999</v>
      </c>
      <c r="L59" s="222">
        <v>2.1999999999999999E-2</v>
      </c>
      <c r="M59" s="389">
        <v>220.16</v>
      </c>
      <c r="N59" s="223">
        <v>2.4700000000000002</v>
      </c>
      <c r="O59" s="223">
        <v>5.14</v>
      </c>
      <c r="P59" s="222">
        <v>7.1999999999999995E-2</v>
      </c>
    </row>
    <row r="60" spans="4:16" x14ac:dyDescent="0.3">
      <c r="F60" t="s">
        <v>921</v>
      </c>
      <c r="H60" t="s">
        <v>448</v>
      </c>
      <c r="J60" s="222">
        <v>5.2050000000000001</v>
      </c>
      <c r="K60" s="222">
        <v>0.23699999999999999</v>
      </c>
      <c r="L60" s="222">
        <v>2.1999999999999999E-2</v>
      </c>
      <c r="M60" s="389">
        <v>427.59</v>
      </c>
      <c r="N60" s="223">
        <v>2.4700000000000002</v>
      </c>
      <c r="O60" s="223">
        <v>5.14</v>
      </c>
      <c r="P60" s="222">
        <v>7.1999999999999995E-2</v>
      </c>
    </row>
    <row r="61" spans="4:16" x14ac:dyDescent="0.3">
      <c r="F61" t="s">
        <v>922</v>
      </c>
      <c r="H61" t="s">
        <v>448</v>
      </c>
      <c r="J61" s="222">
        <v>5.2050000000000001</v>
      </c>
      <c r="K61" s="222">
        <v>0.23699999999999999</v>
      </c>
      <c r="L61" s="222">
        <v>2.1999999999999999E-2</v>
      </c>
      <c r="M61" s="389">
        <v>686.71</v>
      </c>
      <c r="N61" s="223">
        <v>2.4700000000000002</v>
      </c>
      <c r="O61" s="223">
        <v>5.14</v>
      </c>
      <c r="P61" s="222">
        <v>7.1999999999999995E-2</v>
      </c>
    </row>
    <row r="62" spans="4:16" x14ac:dyDescent="0.3">
      <c r="F62" t="s">
        <v>923</v>
      </c>
      <c r="H62" t="s">
        <v>448</v>
      </c>
      <c r="J62" s="222">
        <v>5.2050000000000001</v>
      </c>
      <c r="K62" s="222">
        <v>0.23699999999999999</v>
      </c>
      <c r="L62" s="222">
        <v>2.1999999999999999E-2</v>
      </c>
      <c r="M62" s="389">
        <v>1498.68</v>
      </c>
      <c r="N62" s="223">
        <v>2.4700000000000002</v>
      </c>
      <c r="O62" s="223">
        <v>5.14</v>
      </c>
      <c r="P62" s="222">
        <v>7.1999999999999995E-2</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23.594000000000001</v>
      </c>
      <c r="K73" s="346">
        <v>2.1160000000000001</v>
      </c>
      <c r="L73" s="346">
        <v>1.548</v>
      </c>
      <c r="M73" s="390">
        <v>0</v>
      </c>
      <c r="N73" s="347">
        <v>0</v>
      </c>
      <c r="O73" s="347">
        <v>0</v>
      </c>
      <c r="P73" s="346">
        <v>0</v>
      </c>
    </row>
    <row r="74" spans="6:16" x14ac:dyDescent="0.3">
      <c r="F74" s="311" t="s">
        <v>833</v>
      </c>
      <c r="H74" t="s">
        <v>448</v>
      </c>
      <c r="J74" s="346">
        <v>-8.5660000000000007</v>
      </c>
      <c r="K74" s="346">
        <v>-0.43</v>
      </c>
      <c r="L74" s="346">
        <v>-4.1000000000000002E-2</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-8.5660000000000007</v>
      </c>
      <c r="K76" s="346">
        <v>-0.43</v>
      </c>
      <c r="L76" s="346">
        <v>-4.1000000000000002E-2</v>
      </c>
      <c r="M76" s="390">
        <v>0</v>
      </c>
      <c r="N76" s="347">
        <v>0</v>
      </c>
      <c r="O76" s="347">
        <v>0</v>
      </c>
      <c r="P76" s="346">
        <v>0.128</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6.1219999999999999</v>
      </c>
      <c r="K84" s="220">
        <v>0.308</v>
      </c>
      <c r="L84" s="220">
        <v>2.9000000000000001E-2</v>
      </c>
      <c r="M84" s="388">
        <v>17.86</v>
      </c>
      <c r="N84" s="221">
        <v>0</v>
      </c>
      <c r="O84" s="221">
        <v>0</v>
      </c>
      <c r="P84" s="220">
        <v>0</v>
      </c>
    </row>
    <row r="85" spans="4:16" x14ac:dyDescent="0.3">
      <c r="F85" t="s">
        <v>831</v>
      </c>
      <c r="H85" t="s">
        <v>449</v>
      </c>
      <c r="J85" s="222">
        <v>6.1219999999999999</v>
      </c>
      <c r="K85" s="222">
        <v>0.308</v>
      </c>
      <c r="L85" s="222">
        <v>2.9000000000000001E-2</v>
      </c>
      <c r="M85" s="389">
        <v>0</v>
      </c>
      <c r="N85" s="223">
        <v>0</v>
      </c>
      <c r="O85" s="223">
        <v>0</v>
      </c>
      <c r="P85" s="222">
        <v>0</v>
      </c>
    </row>
    <row r="86" spans="4:16" x14ac:dyDescent="0.3">
      <c r="F86" t="s">
        <v>914</v>
      </c>
      <c r="H86" t="s">
        <v>449</v>
      </c>
      <c r="J86" s="222">
        <v>5.548</v>
      </c>
      <c r="K86" s="222">
        <v>0.27900000000000003</v>
      </c>
      <c r="L86" s="222">
        <v>2.5999999999999999E-2</v>
      </c>
      <c r="M86" s="389">
        <v>4.4000000000000004</v>
      </c>
      <c r="N86" s="223">
        <v>0</v>
      </c>
      <c r="O86" s="223">
        <v>0</v>
      </c>
      <c r="P86" s="222">
        <v>0</v>
      </c>
    </row>
    <row r="87" spans="4:16" x14ac:dyDescent="0.3">
      <c r="F87" t="s">
        <v>915</v>
      </c>
      <c r="H87" t="s">
        <v>449</v>
      </c>
      <c r="J87" s="222">
        <v>5.548</v>
      </c>
      <c r="K87" s="222">
        <v>0.27900000000000003</v>
      </c>
      <c r="L87" s="222">
        <v>2.5999999999999999E-2</v>
      </c>
      <c r="M87" s="389">
        <v>6.64</v>
      </c>
      <c r="N87" s="223">
        <v>0</v>
      </c>
      <c r="O87" s="223">
        <v>0</v>
      </c>
      <c r="P87" s="222">
        <v>0</v>
      </c>
    </row>
    <row r="88" spans="4:16" x14ac:dyDescent="0.3">
      <c r="F88" t="s">
        <v>916</v>
      </c>
      <c r="H88" t="s">
        <v>449</v>
      </c>
      <c r="J88" s="222">
        <v>5.548</v>
      </c>
      <c r="K88" s="222">
        <v>0.27900000000000003</v>
      </c>
      <c r="L88" s="222">
        <v>2.5999999999999999E-2</v>
      </c>
      <c r="M88" s="389">
        <v>17.75</v>
      </c>
      <c r="N88" s="223">
        <v>0</v>
      </c>
      <c r="O88" s="223">
        <v>0</v>
      </c>
      <c r="P88" s="222">
        <v>0</v>
      </c>
    </row>
    <row r="89" spans="4:16" x14ac:dyDescent="0.3">
      <c r="F89" t="s">
        <v>917</v>
      </c>
      <c r="H89" t="s">
        <v>449</v>
      </c>
      <c r="J89" s="222">
        <v>5.548</v>
      </c>
      <c r="K89" s="222">
        <v>0.27900000000000003</v>
      </c>
      <c r="L89" s="222">
        <v>2.5999999999999999E-2</v>
      </c>
      <c r="M89" s="389">
        <v>36.44</v>
      </c>
      <c r="N89" s="223">
        <v>0</v>
      </c>
      <c r="O89" s="223">
        <v>0</v>
      </c>
      <c r="P89" s="222">
        <v>0</v>
      </c>
    </row>
    <row r="90" spans="4:16" x14ac:dyDescent="0.3">
      <c r="F90" t="s">
        <v>918</v>
      </c>
      <c r="H90" t="s">
        <v>449</v>
      </c>
      <c r="J90" s="222">
        <v>5.548</v>
      </c>
      <c r="K90" s="222">
        <v>0.27900000000000003</v>
      </c>
      <c r="L90" s="222">
        <v>2.5999999999999999E-2</v>
      </c>
      <c r="M90" s="389">
        <v>107.85</v>
      </c>
      <c r="N90" s="223">
        <v>0</v>
      </c>
      <c r="O90" s="223">
        <v>0</v>
      </c>
      <c r="P90" s="222">
        <v>0</v>
      </c>
    </row>
    <row r="91" spans="4:16" x14ac:dyDescent="0.3">
      <c r="F91" t="s">
        <v>832</v>
      </c>
      <c r="H91" t="s">
        <v>449</v>
      </c>
      <c r="J91" s="222">
        <v>5.548</v>
      </c>
      <c r="K91" s="222">
        <v>0.27900000000000003</v>
      </c>
      <c r="L91" s="222">
        <v>2.5999999999999999E-2</v>
      </c>
      <c r="M91" s="389">
        <v>0</v>
      </c>
      <c r="N91" s="223">
        <v>0</v>
      </c>
      <c r="O91" s="223">
        <v>0</v>
      </c>
      <c r="P91" s="222">
        <v>0</v>
      </c>
    </row>
    <row r="92" spans="4:16" x14ac:dyDescent="0.3">
      <c r="F92" t="s">
        <v>919</v>
      </c>
      <c r="H92" t="s">
        <v>449</v>
      </c>
      <c r="J92" s="222">
        <v>3.573</v>
      </c>
      <c r="K92" s="222">
        <v>0.16300000000000001</v>
      </c>
      <c r="L92" s="222">
        <v>1.4999999999999999E-2</v>
      </c>
      <c r="M92" s="389">
        <v>6.1</v>
      </c>
      <c r="N92" s="223">
        <v>1.69</v>
      </c>
      <c r="O92" s="223">
        <v>3.53</v>
      </c>
      <c r="P92" s="222">
        <v>0.05</v>
      </c>
    </row>
    <row r="93" spans="4:16" x14ac:dyDescent="0.3">
      <c r="F93" t="s">
        <v>920</v>
      </c>
      <c r="H93" t="s">
        <v>449</v>
      </c>
      <c r="J93" s="222">
        <v>3.573</v>
      </c>
      <c r="K93" s="222">
        <v>0.16300000000000001</v>
      </c>
      <c r="L93" s="222">
        <v>1.4999999999999999E-2</v>
      </c>
      <c r="M93" s="389">
        <v>151.16</v>
      </c>
      <c r="N93" s="223">
        <v>1.69</v>
      </c>
      <c r="O93" s="223">
        <v>3.53</v>
      </c>
      <c r="P93" s="222">
        <v>0.05</v>
      </c>
    </row>
    <row r="94" spans="4:16" x14ac:dyDescent="0.3">
      <c r="F94" t="s">
        <v>921</v>
      </c>
      <c r="H94" t="s">
        <v>449</v>
      </c>
      <c r="J94" s="222">
        <v>3.573</v>
      </c>
      <c r="K94" s="222">
        <v>0.16300000000000001</v>
      </c>
      <c r="L94" s="222">
        <v>1.4999999999999999E-2</v>
      </c>
      <c r="M94" s="389">
        <v>293.55</v>
      </c>
      <c r="N94" s="223">
        <v>1.69</v>
      </c>
      <c r="O94" s="223">
        <v>3.53</v>
      </c>
      <c r="P94" s="222">
        <v>0.05</v>
      </c>
    </row>
    <row r="95" spans="4:16" x14ac:dyDescent="0.3">
      <c r="F95" t="s">
        <v>922</v>
      </c>
      <c r="H95" t="s">
        <v>449</v>
      </c>
      <c r="J95" s="222">
        <v>3.573</v>
      </c>
      <c r="K95" s="222">
        <v>0.16300000000000001</v>
      </c>
      <c r="L95" s="222">
        <v>1.4999999999999999E-2</v>
      </c>
      <c r="M95" s="389">
        <v>471.43</v>
      </c>
      <c r="N95" s="223">
        <v>1.69</v>
      </c>
      <c r="O95" s="223">
        <v>3.53</v>
      </c>
      <c r="P95" s="222">
        <v>0.05</v>
      </c>
    </row>
    <row r="96" spans="4:16" x14ac:dyDescent="0.3">
      <c r="F96" t="s">
        <v>923</v>
      </c>
      <c r="H96" t="s">
        <v>449</v>
      </c>
      <c r="J96" s="222">
        <v>3.573</v>
      </c>
      <c r="K96" s="222">
        <v>0.16300000000000001</v>
      </c>
      <c r="L96" s="222">
        <v>1.4999999999999999E-2</v>
      </c>
      <c r="M96" s="389">
        <v>1028.81</v>
      </c>
      <c r="N96" s="223">
        <v>1.69</v>
      </c>
      <c r="O96" s="223">
        <v>3.53</v>
      </c>
      <c r="P96" s="222">
        <v>0.05</v>
      </c>
    </row>
    <row r="97" spans="6:16" x14ac:dyDescent="0.3">
      <c r="F97" t="s">
        <v>924</v>
      </c>
      <c r="H97" t="s">
        <v>449</v>
      </c>
      <c r="J97" s="222">
        <v>4.585</v>
      </c>
      <c r="K97" s="222">
        <v>0.16500000000000001</v>
      </c>
      <c r="L97" s="222">
        <v>1.4999999999999999E-2</v>
      </c>
      <c r="M97" s="389">
        <v>7.82</v>
      </c>
      <c r="N97" s="223">
        <v>2.5299999999999998</v>
      </c>
      <c r="O97" s="223">
        <v>4.8099999999999996</v>
      </c>
      <c r="P97" s="222">
        <v>5.6000000000000001E-2</v>
      </c>
    </row>
    <row r="98" spans="6:16" x14ac:dyDescent="0.3">
      <c r="F98" t="s">
        <v>925</v>
      </c>
      <c r="H98" t="s">
        <v>449</v>
      </c>
      <c r="J98" s="222">
        <v>4.585</v>
      </c>
      <c r="K98" s="222">
        <v>0.16500000000000001</v>
      </c>
      <c r="L98" s="222">
        <v>1.4999999999999999E-2</v>
      </c>
      <c r="M98" s="389">
        <v>246.65</v>
      </c>
      <c r="N98" s="223">
        <v>2.5299999999999998</v>
      </c>
      <c r="O98" s="223">
        <v>4.8099999999999996</v>
      </c>
      <c r="P98" s="222">
        <v>5.6000000000000001E-2</v>
      </c>
    </row>
    <row r="99" spans="6:16" x14ac:dyDescent="0.3">
      <c r="F99" s="311" t="s">
        <v>926</v>
      </c>
      <c r="H99" t="s">
        <v>449</v>
      </c>
      <c r="J99" s="346">
        <v>4.585</v>
      </c>
      <c r="K99" s="346">
        <v>0.16500000000000001</v>
      </c>
      <c r="L99" s="346">
        <v>1.4999999999999999E-2</v>
      </c>
      <c r="M99" s="390">
        <v>481.1</v>
      </c>
      <c r="N99" s="347">
        <v>2.5299999999999998</v>
      </c>
      <c r="O99" s="347">
        <v>4.8099999999999996</v>
      </c>
      <c r="P99" s="346">
        <v>5.6000000000000001E-2</v>
      </c>
    </row>
    <row r="100" spans="6:16" x14ac:dyDescent="0.3">
      <c r="F100" s="311" t="s">
        <v>927</v>
      </c>
      <c r="H100" t="s">
        <v>449</v>
      </c>
      <c r="J100" s="346">
        <v>4.585</v>
      </c>
      <c r="K100" s="346">
        <v>0.16500000000000001</v>
      </c>
      <c r="L100" s="346">
        <v>1.4999999999999999E-2</v>
      </c>
      <c r="M100" s="390">
        <v>773.97</v>
      </c>
      <c r="N100" s="347">
        <v>2.5299999999999998</v>
      </c>
      <c r="O100" s="347">
        <v>4.8099999999999996</v>
      </c>
      <c r="P100" s="346">
        <v>5.6000000000000001E-2</v>
      </c>
    </row>
    <row r="101" spans="6:16" x14ac:dyDescent="0.3">
      <c r="F101" s="311" t="s">
        <v>928</v>
      </c>
      <c r="H101" t="s">
        <v>449</v>
      </c>
      <c r="J101" s="346">
        <v>4.585</v>
      </c>
      <c r="K101" s="346">
        <v>0.16500000000000001</v>
      </c>
      <c r="L101" s="346">
        <v>1.4999999999999999E-2</v>
      </c>
      <c r="M101" s="390">
        <v>1691.7</v>
      </c>
      <c r="N101" s="347">
        <v>2.5299999999999998</v>
      </c>
      <c r="O101" s="347">
        <v>4.8099999999999996</v>
      </c>
      <c r="P101" s="346">
        <v>5.6000000000000001E-2</v>
      </c>
    </row>
    <row r="102" spans="6:16" x14ac:dyDescent="0.3">
      <c r="F102" s="311" t="s">
        <v>929</v>
      </c>
      <c r="H102" t="s">
        <v>449</v>
      </c>
      <c r="J102" s="346">
        <v>3.984</v>
      </c>
      <c r="K102" s="346">
        <v>0.109</v>
      </c>
      <c r="L102" s="346">
        <v>0.01</v>
      </c>
      <c r="M102" s="390">
        <v>84.59</v>
      </c>
      <c r="N102" s="347">
        <v>2.54</v>
      </c>
      <c r="O102" s="347">
        <v>5.62</v>
      </c>
      <c r="P102" s="346">
        <v>4.3999999999999997E-2</v>
      </c>
    </row>
    <row r="103" spans="6:16" x14ac:dyDescent="0.3">
      <c r="F103" s="311" t="s">
        <v>930</v>
      </c>
      <c r="H103" t="s">
        <v>449</v>
      </c>
      <c r="J103" s="346">
        <v>3.984</v>
      </c>
      <c r="K103" s="346">
        <v>0.109</v>
      </c>
      <c r="L103" s="346">
        <v>0.01</v>
      </c>
      <c r="M103" s="390">
        <v>1402.57</v>
      </c>
      <c r="N103" s="347">
        <v>2.54</v>
      </c>
      <c r="O103" s="347">
        <v>5.62</v>
      </c>
      <c r="P103" s="346">
        <v>4.3999999999999997E-2</v>
      </c>
    </row>
    <row r="104" spans="6:16" x14ac:dyDescent="0.3">
      <c r="F104" s="311" t="s">
        <v>931</v>
      </c>
      <c r="H104" t="s">
        <v>449</v>
      </c>
      <c r="J104" s="346">
        <v>3.984</v>
      </c>
      <c r="K104" s="346">
        <v>0.109</v>
      </c>
      <c r="L104" s="346">
        <v>0.01</v>
      </c>
      <c r="M104" s="390">
        <v>5030.8100000000004</v>
      </c>
      <c r="N104" s="347">
        <v>2.54</v>
      </c>
      <c r="O104" s="347">
        <v>5.62</v>
      </c>
      <c r="P104" s="346">
        <v>4.3999999999999997E-2</v>
      </c>
    </row>
    <row r="105" spans="6:16" x14ac:dyDescent="0.3">
      <c r="F105" s="311" t="s">
        <v>932</v>
      </c>
      <c r="H105" t="s">
        <v>449</v>
      </c>
      <c r="J105" s="346">
        <v>3.984</v>
      </c>
      <c r="K105" s="346">
        <v>0.109</v>
      </c>
      <c r="L105" s="346">
        <v>0.01</v>
      </c>
      <c r="M105" s="390">
        <v>10515.74</v>
      </c>
      <c r="N105" s="347">
        <v>2.54</v>
      </c>
      <c r="O105" s="347">
        <v>5.62</v>
      </c>
      <c r="P105" s="346">
        <v>4.3999999999999997E-2</v>
      </c>
    </row>
    <row r="106" spans="6:16" x14ac:dyDescent="0.3">
      <c r="F106" s="311" t="s">
        <v>933</v>
      </c>
      <c r="H106" t="s">
        <v>449</v>
      </c>
      <c r="J106" s="346">
        <v>3.984</v>
      </c>
      <c r="K106" s="346">
        <v>0.109</v>
      </c>
      <c r="L106" s="346">
        <v>0.01</v>
      </c>
      <c r="M106" s="390">
        <v>26661.439999999999</v>
      </c>
      <c r="N106" s="347">
        <v>2.54</v>
      </c>
      <c r="O106" s="347">
        <v>5.62</v>
      </c>
      <c r="P106" s="346">
        <v>4.3999999999999997E-2</v>
      </c>
    </row>
    <row r="107" spans="6:16" x14ac:dyDescent="0.3">
      <c r="F107" s="311" t="s">
        <v>841</v>
      </c>
      <c r="H107" t="s">
        <v>449</v>
      </c>
      <c r="J107" s="346">
        <v>16.196000000000002</v>
      </c>
      <c r="K107" s="346">
        <v>1.4530000000000001</v>
      </c>
      <c r="L107" s="346">
        <v>1.0620000000000001</v>
      </c>
      <c r="M107" s="390">
        <v>0</v>
      </c>
      <c r="N107" s="347">
        <v>0</v>
      </c>
      <c r="O107" s="347">
        <v>0</v>
      </c>
      <c r="P107" s="346">
        <v>0</v>
      </c>
    </row>
    <row r="108" spans="6:16" x14ac:dyDescent="0.3">
      <c r="F108" s="311" t="s">
        <v>833</v>
      </c>
      <c r="H108" t="s">
        <v>449</v>
      </c>
      <c r="J108" s="346">
        <v>-8.5660000000000007</v>
      </c>
      <c r="K108" s="346">
        <v>-0.43</v>
      </c>
      <c r="L108" s="346">
        <v>-4.1000000000000002E-2</v>
      </c>
      <c r="M108" s="390">
        <v>0</v>
      </c>
      <c r="N108" s="347">
        <v>0</v>
      </c>
      <c r="O108" s="347">
        <v>0</v>
      </c>
      <c r="P108" s="346">
        <v>0</v>
      </c>
    </row>
    <row r="109" spans="6:16" x14ac:dyDescent="0.3">
      <c r="F109" s="311" t="s">
        <v>834</v>
      </c>
      <c r="H109" t="s">
        <v>449</v>
      </c>
      <c r="J109" s="346">
        <v>-7.7569999999999997</v>
      </c>
      <c r="K109" s="346">
        <v>-0.36699999999999999</v>
      </c>
      <c r="L109" s="346">
        <v>-3.5000000000000003E-2</v>
      </c>
      <c r="M109" s="390">
        <v>0</v>
      </c>
      <c r="N109" s="347">
        <v>0</v>
      </c>
      <c r="O109" s="347">
        <v>0</v>
      </c>
      <c r="P109" s="346">
        <v>0</v>
      </c>
    </row>
    <row r="110" spans="6:16" x14ac:dyDescent="0.3">
      <c r="F110" s="311" t="s">
        <v>835</v>
      </c>
      <c r="H110" t="s">
        <v>449</v>
      </c>
      <c r="J110" s="346">
        <v>-8.5660000000000007</v>
      </c>
      <c r="K110" s="346">
        <v>-0.43</v>
      </c>
      <c r="L110" s="346">
        <v>-4.1000000000000002E-2</v>
      </c>
      <c r="M110" s="390">
        <v>0</v>
      </c>
      <c r="N110" s="347">
        <v>0</v>
      </c>
      <c r="O110" s="347">
        <v>0</v>
      </c>
      <c r="P110" s="346">
        <v>0.128</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-7.7569999999999997</v>
      </c>
      <c r="K112" s="346">
        <v>-0.36699999999999999</v>
      </c>
      <c r="L112" s="346">
        <v>-3.5000000000000003E-2</v>
      </c>
      <c r="M112" s="390">
        <v>0</v>
      </c>
      <c r="N112" s="347">
        <v>0</v>
      </c>
      <c r="O112" s="347">
        <v>0</v>
      </c>
      <c r="P112" s="346">
        <v>0.10299999999999999</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-5.2249999999999996</v>
      </c>
      <c r="K114" s="346">
        <v>-0.17100000000000001</v>
      </c>
      <c r="L114" s="346">
        <v>-1.6E-2</v>
      </c>
      <c r="M114" s="390">
        <v>0</v>
      </c>
      <c r="N114" s="347">
        <v>0</v>
      </c>
      <c r="O114" s="347">
        <v>0</v>
      </c>
      <c r="P114" s="346">
        <v>7.9000000000000001E-2</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36" activePane="bottomRight" state="frozen"/>
      <selection pane="topRight"/>
      <selection pane="bottomLeft"/>
      <selection pane="bottomRight" activeCell="B12" sqref="B12"/>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South West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564129293.41467452</v>
      </c>
    </row>
    <row r="20" spans="2:40" x14ac:dyDescent="0.3">
      <c r="E20"/>
      <c r="F20" s="28" t="s">
        <v>193</v>
      </c>
      <c r="G20" t="s">
        <v>277</v>
      </c>
      <c r="H20" s="233">
        <v>79996397.333652273</v>
      </c>
    </row>
    <row r="21" spans="2:40" x14ac:dyDescent="0.3">
      <c r="E21"/>
      <c r="F21" s="28" t="s">
        <v>194</v>
      </c>
      <c r="G21" t="s">
        <v>277</v>
      </c>
      <c r="H21" s="233">
        <v>216973680.59970704</v>
      </c>
    </row>
    <row r="22" spans="2:40" x14ac:dyDescent="0.3">
      <c r="E22"/>
      <c r="F22" s="28" t="s">
        <v>195</v>
      </c>
      <c r="G22" t="s">
        <v>277</v>
      </c>
      <c r="H22" s="233">
        <v>246540739.55667511</v>
      </c>
    </row>
    <row r="23" spans="2:40" x14ac:dyDescent="0.3">
      <c r="E23"/>
      <c r="F23" s="67" t="s">
        <v>196</v>
      </c>
      <c r="G23" s="37" t="s">
        <v>277</v>
      </c>
      <c r="H23" s="234">
        <v>0</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14.404584738069387</v>
      </c>
      <c r="K32" s="285">
        <f>Rounding!K110</f>
        <v>14.404584738069387</v>
      </c>
      <c r="L32" s="285">
        <f>Rounding!L110</f>
        <v>13.053773387662252</v>
      </c>
      <c r="M32" s="285">
        <f>Rounding!M110</f>
        <v>13.053773387662252</v>
      </c>
      <c r="N32" s="285">
        <f>Rounding!N110</f>
        <v>13.053773387662252</v>
      </c>
      <c r="O32" s="285">
        <f>Rounding!O110</f>
        <v>13.053773387662252</v>
      </c>
      <c r="P32" s="285">
        <f>Rounding!P110</f>
        <v>13.053773387662252</v>
      </c>
      <c r="Q32" s="285">
        <f>Rounding!Q110</f>
        <v>13.053773387662252</v>
      </c>
      <c r="R32" s="285">
        <f>Rounding!R110</f>
        <v>8.4072143362764926</v>
      </c>
      <c r="S32" s="285">
        <f>Rounding!S110</f>
        <v>8.4072143362764926</v>
      </c>
      <c r="T32" s="285">
        <f>Rounding!T110</f>
        <v>8.4072143362764926</v>
      </c>
      <c r="U32" s="285">
        <f>Rounding!U110</f>
        <v>8.4072143362764926</v>
      </c>
      <c r="V32" s="285">
        <f>Rounding!V110</f>
        <v>8.4072143362764926</v>
      </c>
      <c r="W32" s="285">
        <f>Rounding!W110</f>
        <v>6.5529368444037495</v>
      </c>
      <c r="X32" s="285">
        <f>Rounding!X110</f>
        <v>6.5529368444037495</v>
      </c>
      <c r="Y32" s="285">
        <f>Rounding!Y110</f>
        <v>6.5529368444037495</v>
      </c>
      <c r="Z32" s="285">
        <f>Rounding!Z110</f>
        <v>6.5529368444037495</v>
      </c>
      <c r="AA32" s="285">
        <f>Rounding!AA110</f>
        <v>6.5529368444037495</v>
      </c>
      <c r="AB32" s="285">
        <f>Rounding!AB110</f>
        <v>4.8030608077080501</v>
      </c>
      <c r="AC32" s="285">
        <f>Rounding!AC110</f>
        <v>4.8030608077080501</v>
      </c>
      <c r="AD32" s="285">
        <f>Rounding!AD110</f>
        <v>4.8030608077080501</v>
      </c>
      <c r="AE32" s="285">
        <f>Rounding!AE110</f>
        <v>4.8030608077080501</v>
      </c>
      <c r="AF32" s="285">
        <f>Rounding!AF110</f>
        <v>4.8030608077080501</v>
      </c>
      <c r="AG32" s="285">
        <f>Rounding!AG110</f>
        <v>38.110077463742265</v>
      </c>
      <c r="AH32" s="285">
        <f>Rounding!AH110</f>
        <v>-8.5656881932319084</v>
      </c>
      <c r="AI32" s="285">
        <f>Rounding!AI110</f>
        <v>-7.756691054523416</v>
      </c>
      <c r="AJ32" s="285">
        <f>Rounding!AJ110</f>
        <v>-8.5656881932319084</v>
      </c>
      <c r="AK32" s="285">
        <f>Rounding!AL110</f>
        <v>-7.756691054523416</v>
      </c>
      <c r="AL32" s="285">
        <f>Rounding!AN110</f>
        <v>-5.2246528598629354</v>
      </c>
    </row>
    <row r="33" spans="3:40" x14ac:dyDescent="0.3">
      <c r="C33" s="235"/>
      <c r="D33"/>
      <c r="F33" s="238" t="s">
        <v>157</v>
      </c>
      <c r="G33" s="238" t="s">
        <v>269</v>
      </c>
      <c r="H33" s="267" t="s">
        <v>773</v>
      </c>
      <c r="I33" s="267"/>
      <c r="J33" s="380">
        <f>Rounding!J111</f>
        <v>0.72371799810694781</v>
      </c>
      <c r="K33" s="380">
        <f>Rounding!K111</f>
        <v>0.72371799810694781</v>
      </c>
      <c r="L33" s="380">
        <f>Rounding!L111</f>
        <v>0.65585026681767888</v>
      </c>
      <c r="M33" s="380">
        <f>Rounding!M111</f>
        <v>0.65585026681767888</v>
      </c>
      <c r="N33" s="380">
        <f>Rounding!N111</f>
        <v>0.65585026681767888</v>
      </c>
      <c r="O33" s="380">
        <f>Rounding!O111</f>
        <v>0.65585026681767888</v>
      </c>
      <c r="P33" s="380">
        <f>Rounding!P111</f>
        <v>0.65585026681767888</v>
      </c>
      <c r="Q33" s="380">
        <f>Rounding!Q111</f>
        <v>0.65585026681767888</v>
      </c>
      <c r="R33" s="380">
        <f>Rounding!R111</f>
        <v>0.38262023285484648</v>
      </c>
      <c r="S33" s="380">
        <f>Rounding!S111</f>
        <v>0.38262023285484648</v>
      </c>
      <c r="T33" s="380">
        <f>Rounding!T111</f>
        <v>0.38262023285484648</v>
      </c>
      <c r="U33" s="380">
        <f>Rounding!U111</f>
        <v>0.38262023285484648</v>
      </c>
      <c r="V33" s="380">
        <f>Rounding!V111</f>
        <v>0.38262023285484648</v>
      </c>
      <c r="W33" s="380">
        <f>Rounding!W111</f>
        <v>0.2361769239194762</v>
      </c>
      <c r="X33" s="380">
        <f>Rounding!X111</f>
        <v>0.2361769239194762</v>
      </c>
      <c r="Y33" s="380">
        <f>Rounding!Y111</f>
        <v>0.2361769239194762</v>
      </c>
      <c r="Z33" s="380">
        <f>Rounding!Z111</f>
        <v>0.2361769239194762</v>
      </c>
      <c r="AA33" s="380">
        <f>Rounding!AA111</f>
        <v>0.2361769239194762</v>
      </c>
      <c r="AB33" s="380">
        <f>Rounding!AB111</f>
        <v>0.1314028636233896</v>
      </c>
      <c r="AC33" s="380">
        <f>Rounding!AC111</f>
        <v>0.1314028636233896</v>
      </c>
      <c r="AD33" s="380">
        <f>Rounding!AD111</f>
        <v>0.1314028636233896</v>
      </c>
      <c r="AE33" s="380">
        <f>Rounding!AE111</f>
        <v>0.1314028636233896</v>
      </c>
      <c r="AF33" s="380">
        <f>Rounding!AF111</f>
        <v>0.1314028636233896</v>
      </c>
      <c r="AG33" s="380">
        <f>Rounding!AG111</f>
        <v>3.4180087810017401</v>
      </c>
      <c r="AH33" s="380">
        <f>Rounding!AH111</f>
        <v>-0.43035900196627064</v>
      </c>
      <c r="AI33" s="380">
        <f>Rounding!AI111</f>
        <v>-0.36699458766190662</v>
      </c>
      <c r="AJ33" s="380">
        <f>Rounding!AJ111</f>
        <v>-0.43035900196627064</v>
      </c>
      <c r="AK33" s="380">
        <f>Rounding!AL111</f>
        <v>-0.36699458766190662</v>
      </c>
      <c r="AL33" s="380">
        <f>Rounding!AN111</f>
        <v>-0.1707415547963361</v>
      </c>
    </row>
    <row r="34" spans="3:40" x14ac:dyDescent="0.3">
      <c r="C34" s="235"/>
      <c r="D34"/>
      <c r="F34" s="238" t="s">
        <v>158</v>
      </c>
      <c r="G34" s="238" t="s">
        <v>269</v>
      </c>
      <c r="H34" s="267" t="s">
        <v>773</v>
      </c>
      <c r="I34" s="267"/>
      <c r="J34" s="380">
        <f>Rounding!J112</f>
        <v>6.8790204779568292E-2</v>
      </c>
      <c r="K34" s="380">
        <f>Rounding!K112</f>
        <v>6.8790204779568292E-2</v>
      </c>
      <c r="L34" s="380">
        <f>Rounding!L112</f>
        <v>6.2339301049765511E-2</v>
      </c>
      <c r="M34" s="380">
        <f>Rounding!M112</f>
        <v>6.2339301049765511E-2</v>
      </c>
      <c r="N34" s="380">
        <f>Rounding!N112</f>
        <v>6.2339301049765511E-2</v>
      </c>
      <c r="O34" s="380">
        <f>Rounding!O112</f>
        <v>6.2339301049765511E-2</v>
      </c>
      <c r="P34" s="380">
        <f>Rounding!P112</f>
        <v>6.2339301049765511E-2</v>
      </c>
      <c r="Q34" s="380">
        <f>Rounding!Q112</f>
        <v>6.2339301049765511E-2</v>
      </c>
      <c r="R34" s="380">
        <f>Rounding!R112</f>
        <v>3.6117671579289766E-2</v>
      </c>
      <c r="S34" s="380">
        <f>Rounding!S112</f>
        <v>3.6117671579289766E-2</v>
      </c>
      <c r="T34" s="380">
        <f>Rounding!T112</f>
        <v>3.6117671579289766E-2</v>
      </c>
      <c r="U34" s="380">
        <f>Rounding!U112</f>
        <v>3.6117671579289766E-2</v>
      </c>
      <c r="V34" s="380">
        <f>Rounding!V112</f>
        <v>3.6117671579289766E-2</v>
      </c>
      <c r="W34" s="380">
        <f>Rounding!W112</f>
        <v>2.1862115772109857E-2</v>
      </c>
      <c r="X34" s="380">
        <f>Rounding!X112</f>
        <v>2.1862115772109857E-2</v>
      </c>
      <c r="Y34" s="380">
        <f>Rounding!Y112</f>
        <v>2.1862115772109857E-2</v>
      </c>
      <c r="Z34" s="380">
        <f>Rounding!Z112</f>
        <v>2.1862115772109857E-2</v>
      </c>
      <c r="AA34" s="380">
        <f>Rounding!AA112</f>
        <v>2.1862115772109857E-2</v>
      </c>
      <c r="AB34" s="380">
        <f>Rounding!AB112</f>
        <v>1.1741977572095842E-2</v>
      </c>
      <c r="AC34" s="380">
        <f>Rounding!AC112</f>
        <v>1.1741977572095842E-2</v>
      </c>
      <c r="AD34" s="380">
        <f>Rounding!AD112</f>
        <v>1.1741977572095842E-2</v>
      </c>
      <c r="AE34" s="380">
        <f>Rounding!AE112</f>
        <v>1.1741977572095842E-2</v>
      </c>
      <c r="AF34" s="380">
        <f>Rounding!AF112</f>
        <v>1.1741977572095842E-2</v>
      </c>
      <c r="AG34" s="380">
        <f>Rounding!AG112</f>
        <v>2.4997751614077837</v>
      </c>
      <c r="AH34" s="380">
        <f>Rounding!AH112</f>
        <v>-4.0906104244232938E-2</v>
      </c>
      <c r="AI34" s="380">
        <f>Rounding!AI112</f>
        <v>-3.4739995085472319E-2</v>
      </c>
      <c r="AJ34" s="380">
        <f>Rounding!AJ112</f>
        <v>-4.0906104244232938E-2</v>
      </c>
      <c r="AK34" s="380">
        <f>Rounding!AL112</f>
        <v>-3.4739995085472319E-2</v>
      </c>
      <c r="AL34" s="380">
        <f>Rounding!AN112</f>
        <v>-1.55965181875376E-2</v>
      </c>
    </row>
    <row r="35" spans="3:40" x14ac:dyDescent="0.3">
      <c r="C35" s="235"/>
      <c r="D35"/>
      <c r="F35" s="238" t="s">
        <v>159</v>
      </c>
      <c r="G35" s="238" t="s">
        <v>270</v>
      </c>
      <c r="H35" t="s">
        <v>773</v>
      </c>
      <c r="J35" s="381">
        <f>Rounding!J113</f>
        <v>19.321936833200308</v>
      </c>
      <c r="K35" s="381">
        <f>Rounding!K113</f>
        <v>0</v>
      </c>
      <c r="L35" s="381">
        <f>Rounding!L113</f>
        <v>10.122361344437579</v>
      </c>
      <c r="M35" s="381">
        <f>Rounding!M113</f>
        <v>15.394661512439937</v>
      </c>
      <c r="N35" s="381">
        <f>Rounding!N113</f>
        <v>41.549801290486684</v>
      </c>
      <c r="O35" s="381">
        <f>Rounding!O113</f>
        <v>85.530025073614382</v>
      </c>
      <c r="P35" s="381">
        <f>Rounding!P113</f>
        <v>253.54516333790053</v>
      </c>
      <c r="Q35" s="381">
        <f>Rounding!Q113</f>
        <v>0</v>
      </c>
      <c r="R35" s="381">
        <f>Rounding!R113</f>
        <v>14.136159429500619</v>
      </c>
      <c r="S35" s="381">
        <f>Rounding!S113</f>
        <v>355.45893039064111</v>
      </c>
      <c r="T35" s="381">
        <f>Rounding!T113</f>
        <v>690.51014565122171</v>
      </c>
      <c r="U35" s="381">
        <f>Rounding!U113</f>
        <v>1109.049291273071</v>
      </c>
      <c r="V35" s="381">
        <f>Rounding!V113</f>
        <v>2420.5930596730718</v>
      </c>
      <c r="W35" s="381">
        <f>Rounding!W113</f>
        <v>11.034791559616068</v>
      </c>
      <c r="X35" s="381">
        <f>Rounding!X113</f>
        <v>352.35756252075657</v>
      </c>
      <c r="Y35" s="381">
        <f>Rounding!Y113</f>
        <v>687.40877778133722</v>
      </c>
      <c r="Z35" s="381">
        <f>Rounding!Z113</f>
        <v>1105.9479234031867</v>
      </c>
      <c r="AA35" s="381">
        <f>Rounding!AA113</f>
        <v>2417.4916918031877</v>
      </c>
      <c r="AB35" s="381">
        <f>Rounding!AB113</f>
        <v>101.87138209179749</v>
      </c>
      <c r="AC35" s="381">
        <f>Rounding!AC113</f>
        <v>1690.8024827302579</v>
      </c>
      <c r="AD35" s="381">
        <f>Rounding!AD113</f>
        <v>6064.9422532146227</v>
      </c>
      <c r="AE35" s="381">
        <f>Rounding!AE113</f>
        <v>12677.473468608288</v>
      </c>
      <c r="AF35" s="381">
        <f>Rounding!AF113</f>
        <v>32142.435480642933</v>
      </c>
      <c r="AG35" s="381">
        <f>Rounding!AG113</f>
        <v>0</v>
      </c>
      <c r="AH35" s="381">
        <f>Rounding!AH113</f>
        <v>0</v>
      </c>
      <c r="AI35" s="381">
        <f>Rounding!AI113</f>
        <v>0</v>
      </c>
      <c r="AJ35" s="381">
        <f>Rounding!AJ113</f>
        <v>0</v>
      </c>
      <c r="AK35" s="381">
        <f>Rounding!AL113</f>
        <v>0</v>
      </c>
      <c r="AL35" s="381">
        <f>Rounding!AN113</f>
        <v>63.755459127934301</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3.9816938198221941</v>
      </c>
      <c r="S36" s="381">
        <f>Rounding!S114</f>
        <v>3.9816938198221941</v>
      </c>
      <c r="T36" s="381">
        <f>Rounding!T114</f>
        <v>3.9816938198221941</v>
      </c>
      <c r="U36" s="381">
        <f>Rounding!U114</f>
        <v>3.9816938198221941</v>
      </c>
      <c r="V36" s="381">
        <f>Rounding!V114</f>
        <v>3.9816938198221941</v>
      </c>
      <c r="W36" s="381">
        <f>Rounding!W114</f>
        <v>3.6103184247786979</v>
      </c>
      <c r="X36" s="381">
        <f>Rounding!X114</f>
        <v>3.6103184247786979</v>
      </c>
      <c r="Y36" s="381">
        <f>Rounding!Y114</f>
        <v>3.6103184247786979</v>
      </c>
      <c r="Z36" s="381">
        <f>Rounding!Z114</f>
        <v>3.6103184247786979</v>
      </c>
      <c r="AA36" s="381">
        <f>Rounding!AA114</f>
        <v>3.6103184247786979</v>
      </c>
      <c r="AB36" s="381">
        <f>Rounding!AB114</f>
        <v>3.0666881743347854</v>
      </c>
      <c r="AC36" s="381">
        <f>Rounding!AC114</f>
        <v>3.0666881743347854</v>
      </c>
      <c r="AD36" s="381">
        <f>Rounding!AD114</f>
        <v>3.0666881743347854</v>
      </c>
      <c r="AE36" s="381">
        <f>Rounding!AE114</f>
        <v>3.0666881743347854</v>
      </c>
      <c r="AF36" s="381">
        <f>Rounding!AF114</f>
        <v>3.0666881743347854</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8.2981300945898191</v>
      </c>
      <c r="S37" s="381">
        <f>Rounding!S115</f>
        <v>8.2981300945898191</v>
      </c>
      <c r="T37" s="381">
        <f>Rounding!T115</f>
        <v>8.2981300945898191</v>
      </c>
      <c r="U37" s="381">
        <f>Rounding!U115</f>
        <v>8.2981300945898191</v>
      </c>
      <c r="V37" s="381">
        <f>Rounding!V115</f>
        <v>8.2981300945898191</v>
      </c>
      <c r="W37" s="381">
        <f>Rounding!W115</f>
        <v>6.8753494006560389</v>
      </c>
      <c r="X37" s="381">
        <f>Rounding!X115</f>
        <v>6.8753494006560389</v>
      </c>
      <c r="Y37" s="381">
        <f>Rounding!Y115</f>
        <v>6.8753494006560389</v>
      </c>
      <c r="Z37" s="381">
        <f>Rounding!Z115</f>
        <v>6.8753494006560389</v>
      </c>
      <c r="AA37" s="381">
        <f>Rounding!AA115</f>
        <v>6.8753494006560389</v>
      </c>
      <c r="AB37" s="381">
        <f>Rounding!AB115</f>
        <v>6.7796855916892635</v>
      </c>
      <c r="AC37" s="381">
        <f>Rounding!AC115</f>
        <v>6.7796855916892635</v>
      </c>
      <c r="AD37" s="381">
        <f>Rounding!AD115</f>
        <v>6.7796855916892635</v>
      </c>
      <c r="AE37" s="381">
        <f>Rounding!AE115</f>
        <v>6.7796855916892635</v>
      </c>
      <c r="AF37" s="381">
        <f>Rounding!AF115</f>
        <v>6.7796855916892635</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0.117033715439345</v>
      </c>
      <c r="S38" s="286">
        <f>Rounding!S116</f>
        <v>0.117033715439345</v>
      </c>
      <c r="T38" s="286">
        <f>Rounding!T116</f>
        <v>0.117033715439345</v>
      </c>
      <c r="U38" s="286">
        <f>Rounding!U116</f>
        <v>0.117033715439345</v>
      </c>
      <c r="V38" s="286">
        <f>Rounding!V116</f>
        <v>0.117033715439345</v>
      </c>
      <c r="W38" s="286">
        <f>Rounding!W116</f>
        <v>7.9592984330242478E-2</v>
      </c>
      <c r="X38" s="286">
        <f>Rounding!X116</f>
        <v>7.9592984330242478E-2</v>
      </c>
      <c r="Y38" s="286">
        <f>Rounding!Y116</f>
        <v>7.9592984330242478E-2</v>
      </c>
      <c r="Z38" s="286">
        <f>Rounding!Z116</f>
        <v>7.9592984330242478E-2</v>
      </c>
      <c r="AA38" s="286">
        <f>Rounding!AA116</f>
        <v>7.9592984330242478E-2</v>
      </c>
      <c r="AB38" s="286">
        <f>Rounding!AB116</f>
        <v>5.325913516504404E-2</v>
      </c>
      <c r="AC38" s="286">
        <f>Rounding!AC116</f>
        <v>5.325913516504404E-2</v>
      </c>
      <c r="AD38" s="286">
        <f>Rounding!AD116</f>
        <v>5.325913516504404E-2</v>
      </c>
      <c r="AE38" s="286">
        <f>Rounding!AE116</f>
        <v>5.325913516504404E-2</v>
      </c>
      <c r="AF38" s="286">
        <f>Rounding!AF116</f>
        <v>5.325913516504404E-2</v>
      </c>
      <c r="AG38" s="286">
        <f>Rounding!AG116</f>
        <v>0</v>
      </c>
      <c r="AH38" s="286">
        <f>Rounding!AH116</f>
        <v>0</v>
      </c>
      <c r="AI38" s="286">
        <f>Rounding!AI116</f>
        <v>0</v>
      </c>
      <c r="AJ38" s="286">
        <f>Rounding!AJ116</f>
        <v>0.12816320996290698</v>
      </c>
      <c r="AK38" s="286">
        <f>Rounding!AL116</f>
        <v>0.10282741481374987</v>
      </c>
      <c r="AL38" s="286">
        <f>Rounding!AN116</f>
        <v>7.8714520399531474E-2</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9.6510295533601642</v>
      </c>
      <c r="K43" s="233">
        <f>Rounding!K47</f>
        <v>0</v>
      </c>
      <c r="L43" s="233">
        <f>Rounding!L47</f>
        <v>9.5234905302665457E-2</v>
      </c>
      <c r="M43" s="233">
        <f>Rounding!M47</f>
        <v>9.5234905302665457E-2</v>
      </c>
      <c r="N43" s="233">
        <f>Rounding!N47</f>
        <v>9.5234905302665457E-2</v>
      </c>
      <c r="O43" s="233">
        <f>Rounding!O47</f>
        <v>9.5234905302665457E-2</v>
      </c>
      <c r="P43" s="233">
        <f>Rounding!P47</f>
        <v>9.5234905302665457E-2</v>
      </c>
      <c r="Q43" s="233">
        <f>Rounding!Q47</f>
        <v>0</v>
      </c>
      <c r="R43" s="233">
        <f>Rounding!R47</f>
        <v>9.5234905302665457E-2</v>
      </c>
      <c r="S43" s="233">
        <f>Rounding!S47</f>
        <v>9.5234905302665457E-2</v>
      </c>
      <c r="T43" s="233">
        <f>Rounding!T47</f>
        <v>9.5234905302665457E-2</v>
      </c>
      <c r="U43" s="233">
        <f>Rounding!U47</f>
        <v>9.5234905302665457E-2</v>
      </c>
      <c r="V43" s="233">
        <f>Rounding!V47</f>
        <v>9.5234905302665457E-2</v>
      </c>
      <c r="W43" s="233">
        <f>Rounding!W47</f>
        <v>9.5234905302665457E-2</v>
      </c>
      <c r="X43" s="233">
        <f>Rounding!X47</f>
        <v>9.5234905302665457E-2</v>
      </c>
      <c r="Y43" s="233">
        <f>Rounding!Y47</f>
        <v>9.5234905302665457E-2</v>
      </c>
      <c r="Z43" s="233">
        <f>Rounding!Z47</f>
        <v>9.5234905302665457E-2</v>
      </c>
      <c r="AA43" s="233">
        <f>Rounding!AA47</f>
        <v>9.5234905302665457E-2</v>
      </c>
      <c r="AB43" s="233">
        <f>Rounding!AB47</f>
        <v>9.5234905302665457E-2</v>
      </c>
      <c r="AC43" s="233">
        <f>Rounding!AC47</f>
        <v>9.5234905302665457E-2</v>
      </c>
      <c r="AD43" s="233">
        <f>Rounding!AD47</f>
        <v>9.5234905302665457E-2</v>
      </c>
      <c r="AE43" s="233">
        <f>Rounding!AE47</f>
        <v>9.5234905302665457E-2</v>
      </c>
      <c r="AF43" s="233">
        <f>Rounding!AF47</f>
        <v>9.5234905302665457E-2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5.3682000000000007E-2</v>
      </c>
      <c r="L50" s="303">
        <v>5.3682000000000007E-2</v>
      </c>
      <c r="M50" s="303">
        <v>0.13270815000000002</v>
      </c>
      <c r="N50" s="303">
        <v>0.13270815000000002</v>
      </c>
      <c r="O50" s="303">
        <v>5.3682000000000007E-2</v>
      </c>
      <c r="P50" s="302"/>
      <c r="Q50" s="302"/>
      <c r="R50" s="302"/>
      <c r="S50" s="302"/>
      <c r="T50" s="302"/>
    </row>
    <row r="51" spans="2:40" x14ac:dyDescent="0.3">
      <c r="D51"/>
      <c r="E51" s="304" t="s">
        <v>827</v>
      </c>
      <c r="F51" s="304"/>
      <c r="G51" s="108" t="s">
        <v>520</v>
      </c>
      <c r="H51" s="108"/>
      <c r="I51" s="108"/>
      <c r="J51" s="305">
        <f t="array" ref="J51:O51">TRANSPOSE('System peak demand'!H154:H159)</f>
        <v>2308131.5510395723</v>
      </c>
      <c r="K51" s="305">
        <v>2297681.6478738482</v>
      </c>
      <c r="L51" s="305">
        <v>2290816.065260679</v>
      </c>
      <c r="M51" s="305">
        <v>2246444.6489335494</v>
      </c>
      <c r="N51" s="305">
        <v>2235389.3110943097</v>
      </c>
      <c r="O51" s="305">
        <v>0</v>
      </c>
      <c r="P51" s="306"/>
      <c r="Q51" s="306"/>
      <c r="R51" s="306"/>
      <c r="S51" s="306"/>
      <c r="T51" s="306"/>
    </row>
    <row r="52" spans="2:40" x14ac:dyDescent="0.3">
      <c r="D52"/>
      <c r="E52" s="304" t="s">
        <v>816</v>
      </c>
      <c r="F52" s="304"/>
      <c r="G52" s="108" t="s">
        <v>277</v>
      </c>
      <c r="H52" s="108"/>
      <c r="I52" s="108"/>
      <c r="J52" s="306"/>
      <c r="K52" s="305">
        <f>'Unit costs'!L108</f>
        <v>564129293.41467452</v>
      </c>
      <c r="L52" s="305">
        <f>'Unit costs'!M108</f>
        <v>79996397.333652273</v>
      </c>
      <c r="M52" s="305">
        <f>'Unit costs'!N108</f>
        <v>216973680.59970704</v>
      </c>
      <c r="N52" s="305">
        <f>'Unit costs'!O108</f>
        <v>246540739.55667511</v>
      </c>
      <c r="O52" s="305">
        <f>'Unit costs'!P108</f>
        <v>0</v>
      </c>
      <c r="P52" s="305">
        <f>'Unit costs'!Q108</f>
        <v>967078923.93219471</v>
      </c>
      <c r="Q52" s="305">
        <f>'Unit costs'!R108</f>
        <v>367884297.56147486</v>
      </c>
      <c r="R52" s="305">
        <f>'Unit costs'!S108</f>
        <v>679386815.45388985</v>
      </c>
      <c r="S52" s="305">
        <f>'Unit costs'!T108</f>
        <v>528365989.70372778</v>
      </c>
      <c r="T52" s="305">
        <f>'Unit costs'!U108</f>
        <v>13806840.852518473</v>
      </c>
    </row>
    <row r="53" spans="2:40" x14ac:dyDescent="0.3">
      <c r="D53"/>
      <c r="E53" s="307" t="s">
        <v>392</v>
      </c>
      <c r="F53" s="307"/>
      <c r="G53" s="23" t="s">
        <v>283</v>
      </c>
      <c r="H53" s="23"/>
      <c r="I53" s="23"/>
      <c r="J53" s="232">
        <f>'Load &amp; loss characteristics'!K29</f>
        <v>1</v>
      </c>
      <c r="K53" s="232">
        <f>'Load &amp; loss characteristics'!L29</f>
        <v>1.0009999999999999</v>
      </c>
      <c r="L53" s="232">
        <f>'Load &amp; loss characteristics'!M29</f>
        <v>1.004</v>
      </c>
      <c r="M53" s="232">
        <f>'Load &amp; loss characteristics'!N29</f>
        <v>1.0109999999999999</v>
      </c>
      <c r="N53" s="232">
        <f>'Load &amp; loss characteristics'!O29</f>
        <v>1.016</v>
      </c>
      <c r="O53" s="232">
        <f>'Load &amp; loss characteristics'!P29</f>
        <v>1.016</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156.01909915378502</v>
      </c>
      <c r="K62" s="234">
        <f>'Net revenue summary'!K140</f>
        <v>0</v>
      </c>
      <c r="L62" s="234">
        <f>'Net revenue summary'!L140</f>
        <v>0</v>
      </c>
      <c r="M62" s="234">
        <f>'Net revenue summary'!M140</f>
        <v>72.416875596868579</v>
      </c>
      <c r="N62" s="234">
        <f>'Net revenue summary'!N140</f>
        <v>246.6712642224804</v>
      </c>
      <c r="O62" s="234">
        <f>'Net revenue summary'!O140</f>
        <v>539.65174558931039</v>
      </c>
      <c r="P62" s="234">
        <f>'Net revenue summary'!P140</f>
        <v>1658.8927192175559</v>
      </c>
      <c r="Q62" s="234">
        <f>'Net revenue summary'!Q140</f>
        <v>0</v>
      </c>
      <c r="R62" s="234">
        <f>'Net revenue summary'!R140</f>
        <v>0</v>
      </c>
      <c r="S62" s="234">
        <f>'Net revenue summary'!S140</f>
        <v>2555.2491089706273</v>
      </c>
      <c r="T62" s="234">
        <f>'Net revenue summary'!T140</f>
        <v>5412.1566167390429</v>
      </c>
      <c r="U62" s="234">
        <f>'Net revenue summary'!U140</f>
        <v>8623.8820942174534</v>
      </c>
      <c r="V62" s="234">
        <f>'Net revenue summary'!V140</f>
        <v>17281.296796597158</v>
      </c>
      <c r="W62" s="234">
        <f>'Net revenue summary'!W140</f>
        <v>0</v>
      </c>
      <c r="X62" s="234">
        <f>'Net revenue summary'!X140</f>
        <v>2672.6077642438827</v>
      </c>
      <c r="Y62" s="234">
        <f>'Net revenue summary'!Y140</f>
        <v>5619.7325949163705</v>
      </c>
      <c r="Z62" s="234">
        <f>'Net revenue summary'!Z140</f>
        <v>8969.0090123197497</v>
      </c>
      <c r="AA62" s="234">
        <f>'Net revenue summary'!AA140</f>
        <v>18910.875018296792</v>
      </c>
      <c r="AB62" s="234">
        <f>'Net revenue summary'!AB140</f>
        <v>0</v>
      </c>
      <c r="AC62" s="234">
        <f>'Net revenue summary'!AC140</f>
        <v>9657.0014100664321</v>
      </c>
      <c r="AD62" s="234">
        <f>'Net revenue summary'!AD140</f>
        <v>34999.558362063872</v>
      </c>
      <c r="AE62" s="234">
        <f>'Net revenue summary'!AE140</f>
        <v>72828.156085856783</v>
      </c>
      <c r="AF62" s="234">
        <f>'Net revenue summary'!AF140</f>
        <v>182296.08743808864</v>
      </c>
      <c r="AG62" s="234">
        <f>'Net revenue summary'!AG140</f>
        <v>178898.53807978524</v>
      </c>
      <c r="AH62" s="234">
        <f>'Net revenue summary'!AH140</f>
        <v>0</v>
      </c>
      <c r="AI62" s="234">
        <f>'Net revenue summary'!AI140</f>
        <v>0</v>
      </c>
      <c r="AJ62" s="234">
        <f>'Net revenue summary'!AJ140</f>
        <v>-558.47798439435564</v>
      </c>
      <c r="AK62" s="234">
        <f>'Net revenue summary'!AL140</f>
        <v>-983.68906532212372</v>
      </c>
      <c r="AL62" s="234">
        <f>'Net revenue summary'!AN140</f>
        <v>-7801.4715864669051</v>
      </c>
    </row>
    <row r="63" spans="2:40" x14ac:dyDescent="0.3">
      <c r="C63" s="235"/>
      <c r="D63"/>
      <c r="E63" s="108" t="s">
        <v>776</v>
      </c>
      <c r="F63" s="108"/>
      <c r="G63" s="214" t="s">
        <v>269</v>
      </c>
      <c r="H63" s="308" t="s">
        <v>773</v>
      </c>
      <c r="I63" s="308"/>
      <c r="J63" s="428">
        <f>'Net revenue summary'!J146</f>
        <v>4.4387926944847269</v>
      </c>
      <c r="K63" s="428">
        <f>'Net revenue summary'!K146</f>
        <v>0.28420703423656973</v>
      </c>
      <c r="L63" s="428">
        <f>'Net revenue summary'!L146</f>
        <v>0</v>
      </c>
      <c r="M63" s="428">
        <f>'Net revenue summary'!M146</f>
        <v>5.4380158807525518</v>
      </c>
      <c r="N63" s="428">
        <f>'Net revenue summary'!N146</f>
        <v>3.1074945138948804</v>
      </c>
      <c r="O63" s="428">
        <f>'Net revenue summary'!O146</f>
        <v>2.8333414595863875</v>
      </c>
      <c r="P63" s="428">
        <f>'Net revenue summary'!P146</f>
        <v>2.6980988696341348</v>
      </c>
      <c r="Q63" s="428">
        <f>'Net revenue summary'!Q146</f>
        <v>0.36412655606509819</v>
      </c>
      <c r="R63" s="428">
        <f>'Net revenue summary'!R146</f>
        <v>0</v>
      </c>
      <c r="S63" s="428">
        <f>'Net revenue summary'!S146</f>
        <v>3.0699320968722934</v>
      </c>
      <c r="T63" s="428">
        <f>'Net revenue summary'!T146</f>
        <v>3.4153963780747216</v>
      </c>
      <c r="U63" s="428">
        <f>'Net revenue summary'!U146</f>
        <v>3.5857652973679932</v>
      </c>
      <c r="V63" s="428">
        <f>'Net revenue summary'!V146</f>
        <v>3.8957073753208054</v>
      </c>
      <c r="W63" s="428">
        <f>'Net revenue summary'!W146</f>
        <v>0</v>
      </c>
      <c r="X63" s="428">
        <f>'Net revenue summary'!X146</f>
        <v>2.2010825468509152</v>
      </c>
      <c r="Y63" s="428">
        <f>'Net revenue summary'!Y146</f>
        <v>2.3338569068015413</v>
      </c>
      <c r="Z63" s="428">
        <f>'Net revenue summary'!Z146</f>
        <v>2.3645955512264374</v>
      </c>
      <c r="AA63" s="428">
        <f>'Net revenue summary'!AA146</f>
        <v>2.4724046575721745</v>
      </c>
      <c r="AB63" s="428">
        <f>'Net revenue summary'!AB146</f>
        <v>0</v>
      </c>
      <c r="AC63" s="428">
        <f>'Net revenue summary'!AC146</f>
        <v>2.3927882690642046</v>
      </c>
      <c r="AD63" s="428">
        <f>'Net revenue summary'!AD146</f>
        <v>2.3107855071203285</v>
      </c>
      <c r="AE63" s="428">
        <f>'Net revenue summary'!AE146</f>
        <v>2.2800142900325167</v>
      </c>
      <c r="AF63" s="428">
        <f>'Net revenue summary'!AF146</f>
        <v>2.2399804905601259</v>
      </c>
      <c r="AG63" s="428">
        <f>'Net revenue summary'!AG146</f>
        <v>3.7494203953752252</v>
      </c>
      <c r="AH63" s="428">
        <f>'Net revenue summary'!AH146</f>
        <v>-0.84571278602702704</v>
      </c>
      <c r="AI63" s="428">
        <f>'Net revenue summary'!AI146</f>
        <v>0</v>
      </c>
      <c r="AJ63" s="428">
        <f>'Net revenue summary'!AJ146</f>
        <v>-0.72347893579423639</v>
      </c>
      <c r="AK63" s="428">
        <f>'Net revenue summary'!AL146</f>
        <v>-0.61933743541168296</v>
      </c>
      <c r="AL63" s="428">
        <f>'Net revenue summary'!AN146</f>
        <v>-0.39941459163023013</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4.4387926944847269</v>
      </c>
      <c r="K65" s="430">
        <f>'Net revenue summary'!K174</f>
        <v>0.28420703423656973</v>
      </c>
      <c r="L65" s="430" t="str">
        <f>'Net revenue summary'!L174</f>
        <v>-</v>
      </c>
      <c r="M65" s="430">
        <f>'Net revenue summary'!M174</f>
        <v>5.4380158807525527</v>
      </c>
      <c r="N65" s="430">
        <f>'Net revenue summary'!N174</f>
        <v>3.1074945138948804</v>
      </c>
      <c r="O65" s="430">
        <f>'Net revenue summary'!O174</f>
        <v>2.8333414595863875</v>
      </c>
      <c r="P65" s="430">
        <f>'Net revenue summary'!P174</f>
        <v>2.6980988696341344</v>
      </c>
      <c r="Q65" s="430">
        <f>'Net revenue summary'!Q174</f>
        <v>0.36412655606509825</v>
      </c>
      <c r="R65" s="430" t="str">
        <f>'Net revenue summary'!R174</f>
        <v>-</v>
      </c>
      <c r="S65" s="430">
        <f>'Net revenue summary'!S174</f>
        <v>3.069932096872293</v>
      </c>
      <c r="T65" s="430">
        <f>'Net revenue summary'!T174</f>
        <v>3.4153963780747221</v>
      </c>
      <c r="U65" s="430">
        <f>'Net revenue summary'!U174</f>
        <v>3.5857652973679932</v>
      </c>
      <c r="V65" s="430">
        <f>'Net revenue summary'!V174</f>
        <v>3.8957073753208058</v>
      </c>
      <c r="W65" s="430" t="str">
        <f>'Net revenue summary'!W174</f>
        <v>-</v>
      </c>
      <c r="X65" s="430">
        <f>'Net revenue summary'!X174</f>
        <v>2.2010825468509152</v>
      </c>
      <c r="Y65" s="430">
        <f>'Net revenue summary'!Y174</f>
        <v>2.3338569068015413</v>
      </c>
      <c r="Z65" s="430">
        <f>'Net revenue summary'!Z174</f>
        <v>2.3645955512264374</v>
      </c>
      <c r="AA65" s="430">
        <f>'Net revenue summary'!AA174</f>
        <v>2.4724046575721745</v>
      </c>
      <c r="AB65" s="430" t="str">
        <f>'Net revenue summary'!AB174</f>
        <v>-</v>
      </c>
      <c r="AC65" s="430">
        <f>'Net revenue summary'!AC174</f>
        <v>2.3927882690642042</v>
      </c>
      <c r="AD65" s="430">
        <f>'Net revenue summary'!AD174</f>
        <v>2.3107855071203285</v>
      </c>
      <c r="AE65" s="430">
        <f>'Net revenue summary'!AE174</f>
        <v>2.2800142900325167</v>
      </c>
      <c r="AF65" s="430">
        <f>'Net revenue summary'!AF174</f>
        <v>2.2399804905601259</v>
      </c>
      <c r="AG65" s="430">
        <f>'Net revenue summary'!AG174</f>
        <v>3.7494203953752256</v>
      </c>
      <c r="AH65" s="430">
        <f>'Net revenue summary'!AH174</f>
        <v>-0.84571278602702704</v>
      </c>
      <c r="AI65" s="430" t="str">
        <f>'Net revenue summary'!AI174</f>
        <v>-</v>
      </c>
      <c r="AJ65" s="430">
        <f>'Net revenue summary'!AJ174</f>
        <v>-0.72347893579423628</v>
      </c>
      <c r="AK65" s="430">
        <f>'Net revenue summary'!AL174</f>
        <v>-0.61933743541168296</v>
      </c>
      <c r="AL65" s="430">
        <f>'Net revenue summary'!AN174</f>
        <v>-0.39941459163023013</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0.29492597566793854</v>
      </c>
      <c r="K73" s="309">
        <f>'Net revenue summary'!K206</f>
        <v>0</v>
      </c>
      <c r="L73" s="309">
        <f>'Net revenue summary'!L206</f>
        <v>0</v>
      </c>
      <c r="M73" s="309">
        <f>'Net revenue summary'!M206</f>
        <v>0.37883892952451681</v>
      </c>
      <c r="N73" s="309">
        <f>'Net revenue summary'!N206</f>
        <v>0.38032347258599375</v>
      </c>
      <c r="O73" s="309">
        <f>'Net revenue summary'!O206</f>
        <v>0.38058068836627384</v>
      </c>
      <c r="P73" s="309">
        <f>'Net revenue summary'!P206</f>
        <v>0.3807324370139315</v>
      </c>
      <c r="Q73" s="309">
        <f>'Net revenue summary'!Q206</f>
        <v>0</v>
      </c>
      <c r="R73" s="309">
        <f>'Net revenue summary'!R206</f>
        <v>0</v>
      </c>
      <c r="S73" s="309">
        <f>'Net revenue summary'!S206</f>
        <v>0.38058291980786352</v>
      </c>
      <c r="T73" s="309">
        <f>'Net revenue summary'!T206</f>
        <v>0.38051025124617677</v>
      </c>
      <c r="U73" s="309">
        <f>'Net revenue summary'!U206</f>
        <v>0.38050141566776496</v>
      </c>
      <c r="V73" s="309">
        <f>'Net revenue summary'!V206</f>
        <v>0.3805422210328126</v>
      </c>
      <c r="W73" s="165"/>
      <c r="X73" s="165"/>
      <c r="Y73" s="165"/>
      <c r="Z73" s="165"/>
      <c r="AA73" s="165"/>
      <c r="AB73" s="165"/>
      <c r="AC73" s="165"/>
      <c r="AD73" s="165"/>
      <c r="AE73" s="165"/>
      <c r="AF73" s="165"/>
      <c r="AG73" s="309">
        <f>'Net revenue summary'!AG206</f>
        <v>0.38086213621469978</v>
      </c>
      <c r="AH73" s="309">
        <f>'Net revenue summary'!AH206</f>
        <v>0</v>
      </c>
      <c r="AI73" s="165"/>
      <c r="AJ73" s="309">
        <f>'Net revenue summary'!AJ206</f>
        <v>0</v>
      </c>
      <c r="AK73" s="165"/>
      <c r="AL73" s="165"/>
    </row>
    <row r="74" spans="2:40" x14ac:dyDescent="0.3">
      <c r="C74" s="235"/>
      <c r="D74"/>
      <c r="E74" s="37" t="s">
        <v>795</v>
      </c>
      <c r="F74" s="37"/>
      <c r="G74" s="67" t="s">
        <v>167</v>
      </c>
      <c r="H74" s="37" t="s">
        <v>449</v>
      </c>
      <c r="I74" s="37"/>
      <c r="J74" s="310">
        <f>'Net revenue summary'!J207</f>
        <v>0.44522155472958214</v>
      </c>
      <c r="K74" s="310">
        <f>'Net revenue summary'!K207</f>
        <v>0</v>
      </c>
      <c r="L74" s="310">
        <f>'Net revenue summary'!L207</f>
        <v>0</v>
      </c>
      <c r="M74" s="310">
        <f>'Net revenue summary'!M207</f>
        <v>0.57214672126371902</v>
      </c>
      <c r="N74" s="310">
        <f>'Net revenue summary'!N207</f>
        <v>0.57429101702603547</v>
      </c>
      <c r="O74" s="310">
        <f>'Net revenue summary'!O207</f>
        <v>0.5746939878143551</v>
      </c>
      <c r="P74" s="310">
        <f>'Net revenue summary'!P207</f>
        <v>0.57489763513075176</v>
      </c>
      <c r="Q74" s="310">
        <f>'Net revenue summary'!Q207</f>
        <v>0</v>
      </c>
      <c r="R74" s="310">
        <f>'Net revenue summary'!R207</f>
        <v>0</v>
      </c>
      <c r="S74" s="310">
        <f>'Net revenue summary'!S207</f>
        <v>0.57500095994810319</v>
      </c>
      <c r="T74" s="310">
        <f>'Net revenue summary'!T207</f>
        <v>0.57507084614098558</v>
      </c>
      <c r="U74" s="310">
        <f>'Net revenue summary'!U207</f>
        <v>0.57508187506313568</v>
      </c>
      <c r="V74" s="310">
        <f>'Net revenue summary'!V207</f>
        <v>0.57508967666343935</v>
      </c>
      <c r="W74" s="310">
        <f>'Net revenue summary'!W207</f>
        <v>0</v>
      </c>
      <c r="X74" s="310">
        <f>'Net revenue summary'!X207</f>
        <v>0.30006630824904146</v>
      </c>
      <c r="Y74" s="310">
        <f>'Net revenue summary'!Y207</f>
        <v>0.30002568619421721</v>
      </c>
      <c r="Z74" s="310">
        <f>'Net revenue summary'!Z207</f>
        <v>0.30003134899779837</v>
      </c>
      <c r="AA74" s="310">
        <f>'Net revenue summary'!AA207</f>
        <v>0.3000420114928154</v>
      </c>
      <c r="AB74" s="310">
        <f>'Net revenue summary'!AB207</f>
        <v>0</v>
      </c>
      <c r="AC74" s="310">
        <f>'Net revenue summary'!AC207</f>
        <v>0.17088432068983866</v>
      </c>
      <c r="AD74" s="310">
        <f>'Net revenue summary'!AD207</f>
        <v>0.17088707316267288</v>
      </c>
      <c r="AE74" s="310">
        <f>'Net revenue summary'!AE207</f>
        <v>0.17087603445458061</v>
      </c>
      <c r="AF74" s="310">
        <f>'Net revenue summary'!AF207</f>
        <v>0.17085174121216126</v>
      </c>
      <c r="AG74" s="310">
        <f>'Net revenue summary'!AG207</f>
        <v>0.57506456211579204</v>
      </c>
      <c r="AH74" s="310">
        <f>'Net revenue summary'!AH207</f>
        <v>0</v>
      </c>
      <c r="AI74" s="310">
        <f>'Net revenue summary'!AI207</f>
        <v>0</v>
      </c>
      <c r="AJ74" s="310">
        <f>'Net revenue summary'!AJ207</f>
        <v>0</v>
      </c>
      <c r="AK74" s="310">
        <f>'Net revenue summary'!AL207</f>
        <v>-2.3114384764333548E-16</v>
      </c>
      <c r="AL74" s="310">
        <f>'Net revenue summary'!AN207</f>
        <v>-2.983078223391903E-2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7"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South West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activeCell="G16" sqref="G16"/>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South West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South West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39"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14" activePane="bottomRight" state="frozen"/>
      <selection pane="topRight"/>
      <selection pane="bottomLeft"/>
      <selection pane="bottomRight" activeCell="J165" sqref="J165"/>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South West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0.43637124594100191</v>
      </c>
      <c r="K15" s="252">
        <v>0.13909638091298485</v>
      </c>
      <c r="L15" s="252">
        <v>0.42027324975634772</v>
      </c>
      <c r="M15" s="252">
        <v>0.15211196015792416</v>
      </c>
      <c r="N15" s="252">
        <v>0.56327498809340515</v>
      </c>
      <c r="O15" s="252">
        <v>0.6133729661812396</v>
      </c>
      <c r="P15" s="252">
        <v>0.73653799635890616</v>
      </c>
      <c r="Q15" s="252">
        <v>0.49149694068465871</v>
      </c>
      <c r="R15" s="70"/>
      <c r="S15" s="70"/>
      <c r="T15" s="70"/>
      <c r="U15" s="70"/>
      <c r="V15" s="70"/>
      <c r="W15" s="70"/>
      <c r="X15" s="70"/>
      <c r="Y15" s="70"/>
      <c r="AQ15" t="s">
        <v>242</v>
      </c>
    </row>
    <row r="16" spans="1:43" x14ac:dyDescent="0.3">
      <c r="E16" s="28" t="s">
        <v>243</v>
      </c>
      <c r="G16" s="13" t="s">
        <v>167</v>
      </c>
      <c r="I16" t="s">
        <v>154</v>
      </c>
      <c r="J16" s="252">
        <v>0.92716088726519208</v>
      </c>
      <c r="K16" s="70"/>
      <c r="L16" s="252">
        <v>0.68044730111810703</v>
      </c>
      <c r="M16" s="70"/>
      <c r="N16" s="252">
        <v>0.74178661285900027</v>
      </c>
      <c r="O16" s="252">
        <v>0.73615080183524617</v>
      </c>
      <c r="P16" s="252">
        <v>0.77911911110674159</v>
      </c>
      <c r="Q16" s="252">
        <v>0.96201654876215936</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165.19190239670218</v>
      </c>
      <c r="L23" s="253">
        <v>0</v>
      </c>
      <c r="M23" s="253">
        <v>156.53988635874572</v>
      </c>
      <c r="N23" s="253">
        <v>0</v>
      </c>
      <c r="O23" s="253">
        <v>0</v>
      </c>
      <c r="P23" s="253">
        <v>0</v>
      </c>
      <c r="Q23" s="83"/>
      <c r="R23" s="253">
        <v>208.43531675970064</v>
      </c>
      <c r="S23" s="253">
        <v>0</v>
      </c>
      <c r="T23" s="253">
        <v>3867.6374675826655</v>
      </c>
      <c r="U23" s="253">
        <v>0</v>
      </c>
      <c r="V23" s="253">
        <v>1009.8765349498661</v>
      </c>
      <c r="W23" s="253">
        <v>0</v>
      </c>
      <c r="X23" s="253">
        <v>33792.907334020259</v>
      </c>
      <c r="Y23" s="253">
        <v>0</v>
      </c>
    </row>
    <row r="24" spans="3:43" x14ac:dyDescent="0.3">
      <c r="E24" s="32"/>
      <c r="F24" s="72" t="s">
        <v>248</v>
      </c>
      <c r="G24" s="72" t="s">
        <v>207</v>
      </c>
      <c r="J24" s="79"/>
      <c r="K24" s="254">
        <v>8808.4021048564955</v>
      </c>
      <c r="L24" s="254">
        <v>0</v>
      </c>
      <c r="M24" s="254">
        <v>5298.9984308607791</v>
      </c>
      <c r="N24" s="254">
        <v>0</v>
      </c>
      <c r="O24" s="254">
        <v>0</v>
      </c>
      <c r="P24" s="254">
        <v>0</v>
      </c>
      <c r="Q24" s="79"/>
      <c r="R24" s="255">
        <v>2120.0971136074354</v>
      </c>
      <c r="S24" s="255">
        <v>0</v>
      </c>
      <c r="T24" s="254">
        <v>33839.103386170413</v>
      </c>
      <c r="U24" s="254">
        <v>0</v>
      </c>
      <c r="V24" s="254">
        <v>8451.4185101941748</v>
      </c>
      <c r="W24" s="254">
        <v>0</v>
      </c>
      <c r="X24" s="254">
        <v>286628.40604383906</v>
      </c>
      <c r="Y24" s="254">
        <v>0</v>
      </c>
    </row>
    <row r="25" spans="3:43" x14ac:dyDescent="0.3">
      <c r="E25" s="32"/>
      <c r="F25" s="72" t="s">
        <v>249</v>
      </c>
      <c r="G25" s="72" t="s">
        <v>207</v>
      </c>
      <c r="J25" s="79"/>
      <c r="K25" s="254">
        <v>28839.73547014036</v>
      </c>
      <c r="L25" s="254">
        <v>0</v>
      </c>
      <c r="M25" s="254">
        <v>11694.133459357819</v>
      </c>
      <c r="N25" s="254">
        <v>0</v>
      </c>
      <c r="O25" s="254">
        <v>0</v>
      </c>
      <c r="P25" s="254">
        <v>0</v>
      </c>
      <c r="Q25" s="79"/>
      <c r="R25" s="255">
        <v>904.45814433756675</v>
      </c>
      <c r="S25" s="255">
        <v>0</v>
      </c>
      <c r="T25" s="254">
        <v>28793.328681545252</v>
      </c>
      <c r="U25" s="254">
        <v>0</v>
      </c>
      <c r="V25" s="254">
        <v>8337.0882839597562</v>
      </c>
      <c r="W25" s="254">
        <v>0</v>
      </c>
      <c r="X25" s="254">
        <v>235378.52205465923</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861.47352056885472</v>
      </c>
      <c r="U26" s="254">
        <v>0</v>
      </c>
      <c r="V26" s="254">
        <v>112.05985177756838</v>
      </c>
      <c r="W26" s="254">
        <v>0</v>
      </c>
      <c r="X26" s="254">
        <v>284.55473026719613</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5860.34329429218</v>
      </c>
      <c r="U29" s="81"/>
      <c r="V29" s="256">
        <v>1979.3774685899657</v>
      </c>
      <c r="W29" s="81"/>
      <c r="X29" s="256">
        <v>9248.3392978234697</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394056.97768915538</v>
      </c>
      <c r="K32" s="83"/>
      <c r="L32" s="253">
        <v>5296.5540517673098</v>
      </c>
      <c r="M32" s="83"/>
      <c r="N32" s="253">
        <v>24210.957358027488</v>
      </c>
      <c r="O32" s="253">
        <v>2546.5296662420442</v>
      </c>
      <c r="P32" s="253">
        <v>11806.891010422014</v>
      </c>
      <c r="Q32" s="253">
        <v>3172.0310077756471</v>
      </c>
      <c r="R32" s="83"/>
      <c r="S32" s="83"/>
      <c r="T32" s="83"/>
      <c r="U32" s="83"/>
      <c r="V32" s="83"/>
      <c r="W32" s="83"/>
      <c r="X32" s="83"/>
      <c r="Y32" s="83"/>
    </row>
    <row r="33" spans="5:42" x14ac:dyDescent="0.3">
      <c r="E33" s="32"/>
      <c r="F33" s="72" t="s">
        <v>248</v>
      </c>
      <c r="G33" s="72" t="s">
        <v>207</v>
      </c>
      <c r="J33" s="254">
        <v>2272941.7109962343</v>
      </c>
      <c r="K33" s="79"/>
      <c r="L33" s="254">
        <v>43615.870615073836</v>
      </c>
      <c r="M33" s="331"/>
      <c r="N33" s="254">
        <v>173823.30581969829</v>
      </c>
      <c r="O33" s="254">
        <v>18787.474717934932</v>
      </c>
      <c r="P33" s="254">
        <v>84785.751995411454</v>
      </c>
      <c r="Q33" s="255">
        <v>36505.652837292037</v>
      </c>
      <c r="R33" s="79"/>
      <c r="S33" s="79"/>
      <c r="T33" s="79"/>
      <c r="U33" s="79"/>
      <c r="V33" s="79"/>
      <c r="W33" s="79"/>
      <c r="X33" s="79"/>
      <c r="Y33" s="79"/>
    </row>
    <row r="34" spans="5:42" x14ac:dyDescent="0.3">
      <c r="E34" s="32"/>
      <c r="F34" s="72" t="s">
        <v>249</v>
      </c>
      <c r="G34" s="72" t="s">
        <v>207</v>
      </c>
      <c r="J34" s="254">
        <v>2575955.0606651236</v>
      </c>
      <c r="K34" s="79"/>
      <c r="L34" s="254">
        <v>34884.599727618042</v>
      </c>
      <c r="M34" s="331"/>
      <c r="N34" s="254">
        <v>148750.82920682596</v>
      </c>
      <c r="O34" s="254">
        <v>18221.579236547816</v>
      </c>
      <c r="P34" s="254">
        <v>93725.831776888721</v>
      </c>
      <c r="Q34" s="255">
        <v>77551.244091183558</v>
      </c>
      <c r="R34" s="79"/>
      <c r="S34" s="79"/>
      <c r="T34" s="79"/>
      <c r="U34" s="79"/>
      <c r="V34" s="79"/>
      <c r="W34" s="79"/>
      <c r="X34" s="79"/>
      <c r="Y34" s="79"/>
    </row>
    <row r="35" spans="5:42" x14ac:dyDescent="0.3">
      <c r="E35" s="32"/>
      <c r="F35" s="72" t="s">
        <v>212</v>
      </c>
      <c r="G35" s="72" t="s">
        <v>212</v>
      </c>
      <c r="J35" s="254">
        <v>1491636.9166571859</v>
      </c>
      <c r="K35" s="79"/>
      <c r="L35" s="254">
        <v>62925.878210158902</v>
      </c>
      <c r="M35" s="331"/>
      <c r="N35" s="254">
        <v>4166.3518523132634</v>
      </c>
      <c r="O35" s="254">
        <v>325.76835966317407</v>
      </c>
      <c r="P35" s="254">
        <v>471.56647753161769</v>
      </c>
      <c r="Q35" s="254">
        <v>24.569263564139717</v>
      </c>
      <c r="R35" s="79"/>
      <c r="S35" s="79"/>
      <c r="T35" s="79"/>
      <c r="U35" s="79"/>
      <c r="V35" s="79"/>
      <c r="W35" s="79"/>
      <c r="X35" s="79"/>
      <c r="Y35" s="79"/>
    </row>
    <row r="36" spans="5:42" x14ac:dyDescent="0.3">
      <c r="E36" s="32"/>
      <c r="F36" s="72" t="s">
        <v>250</v>
      </c>
      <c r="G36" s="72" t="s">
        <v>251</v>
      </c>
      <c r="J36" s="79"/>
      <c r="K36" s="79"/>
      <c r="L36" s="79"/>
      <c r="M36" s="331"/>
      <c r="N36" s="254">
        <v>160052.28402504176</v>
      </c>
      <c r="O36" s="254">
        <v>17249.612816460703</v>
      </c>
      <c r="P36" s="254">
        <v>83978.983450174608</v>
      </c>
      <c r="Q36" s="79"/>
      <c r="R36" s="79"/>
      <c r="S36" s="79"/>
      <c r="T36" s="79"/>
      <c r="U36" s="79"/>
      <c r="V36" s="79"/>
      <c r="W36" s="79"/>
      <c r="X36" s="79"/>
      <c r="Y36" s="79"/>
    </row>
    <row r="37" spans="5:42" x14ac:dyDescent="0.3">
      <c r="E37" s="32"/>
      <c r="F37" s="72" t="s">
        <v>252</v>
      </c>
      <c r="G37" s="72" t="s">
        <v>251</v>
      </c>
      <c r="J37" s="79"/>
      <c r="K37" s="79"/>
      <c r="L37" s="79"/>
      <c r="M37" s="331"/>
      <c r="N37" s="254">
        <v>3846.2261182455973</v>
      </c>
      <c r="O37" s="254">
        <v>246.01251666723277</v>
      </c>
      <c r="P37" s="254">
        <v>305.13158521214103</v>
      </c>
      <c r="Q37" s="79"/>
      <c r="R37" s="79"/>
      <c r="S37" s="79"/>
      <c r="T37" s="79"/>
      <c r="U37" s="79"/>
      <c r="V37" s="79"/>
      <c r="W37" s="79"/>
      <c r="X37" s="79"/>
      <c r="Y37" s="79"/>
    </row>
    <row r="38" spans="5:42" x14ac:dyDescent="0.3">
      <c r="E38" s="32"/>
      <c r="F38" s="80" t="s">
        <v>253</v>
      </c>
      <c r="G38" s="80" t="s">
        <v>254</v>
      </c>
      <c r="H38" s="37"/>
      <c r="I38" s="37"/>
      <c r="J38" s="81"/>
      <c r="K38" s="81"/>
      <c r="L38" s="81"/>
      <c r="M38" s="81"/>
      <c r="N38" s="256">
        <v>36617.777030644895</v>
      </c>
      <c r="O38" s="256">
        <v>3600.1474561872697</v>
      </c>
      <c r="P38" s="256">
        <v>10438.16109897426</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24067.395102857277</v>
      </c>
      <c r="M41" s="83"/>
      <c r="N41" s="253">
        <v>28983.569543671445</v>
      </c>
      <c r="O41" s="253">
        <v>7031.2666882669519</v>
      </c>
      <c r="P41" s="253">
        <v>38382.451737605334</v>
      </c>
      <c r="Q41" s="83"/>
      <c r="R41" s="83"/>
      <c r="S41" s="83"/>
      <c r="T41" s="83"/>
      <c r="U41" s="83"/>
      <c r="V41" s="83"/>
      <c r="W41" s="83"/>
      <c r="X41" s="83"/>
      <c r="Y41" s="83"/>
    </row>
    <row r="42" spans="5:42" x14ac:dyDescent="0.3">
      <c r="E42" s="32"/>
      <c r="F42" s="72" t="s">
        <v>248</v>
      </c>
      <c r="G42" s="72" t="s">
        <v>207</v>
      </c>
      <c r="J42" s="79"/>
      <c r="K42" s="79"/>
      <c r="L42" s="254">
        <v>198189.30961307243</v>
      </c>
      <c r="M42" s="79"/>
      <c r="N42" s="254">
        <v>208088.42038068635</v>
      </c>
      <c r="O42" s="254">
        <v>51874.418308197128</v>
      </c>
      <c r="P42" s="254">
        <v>275625.90618714766</v>
      </c>
      <c r="Q42" s="79"/>
      <c r="R42" s="79"/>
      <c r="S42" s="79"/>
      <c r="T42" s="79"/>
      <c r="U42" s="79"/>
      <c r="V42" s="79"/>
      <c r="W42" s="79"/>
      <c r="X42" s="79"/>
      <c r="Y42" s="79"/>
    </row>
    <row r="43" spans="5:42" x14ac:dyDescent="0.3">
      <c r="E43" s="32"/>
      <c r="F43" s="72" t="s">
        <v>249</v>
      </c>
      <c r="G43" s="72" t="s">
        <v>207</v>
      </c>
      <c r="J43" s="79"/>
      <c r="K43" s="79"/>
      <c r="L43" s="254">
        <v>158514.65621680312</v>
      </c>
      <c r="M43" s="79"/>
      <c r="N43" s="254">
        <v>178073.50363059275</v>
      </c>
      <c r="O43" s="254">
        <v>50311.91459969338</v>
      </c>
      <c r="P43" s="254">
        <v>304688.77976157115</v>
      </c>
      <c r="Q43" s="79"/>
      <c r="R43" s="79"/>
      <c r="S43" s="79"/>
      <c r="T43" s="79"/>
      <c r="U43" s="79"/>
      <c r="V43" s="79"/>
      <c r="W43" s="79"/>
      <c r="X43" s="79"/>
      <c r="Y43" s="79"/>
    </row>
    <row r="44" spans="5:42" x14ac:dyDescent="0.3">
      <c r="E44" s="32"/>
      <c r="F44" s="72" t="s">
        <v>212</v>
      </c>
      <c r="G44" s="72" t="s">
        <v>212</v>
      </c>
      <c r="J44" s="79"/>
      <c r="K44" s="79"/>
      <c r="L44" s="254">
        <v>47968.49437961082</v>
      </c>
      <c r="M44" s="79"/>
      <c r="N44" s="254">
        <v>2619.817783314505</v>
      </c>
      <c r="O44" s="254">
        <v>453.57718513574679</v>
      </c>
      <c r="P44" s="254">
        <v>408.48411979164251</v>
      </c>
      <c r="Q44" s="79"/>
      <c r="R44" s="79"/>
      <c r="S44" s="79"/>
      <c r="T44" s="79"/>
      <c r="U44" s="79"/>
      <c r="V44" s="79"/>
      <c r="W44" s="79"/>
      <c r="X44" s="79"/>
      <c r="Y44" s="79"/>
    </row>
    <row r="45" spans="5:42" x14ac:dyDescent="0.3">
      <c r="E45" s="32"/>
      <c r="F45" s="72" t="s">
        <v>250</v>
      </c>
      <c r="G45" s="72" t="s">
        <v>251</v>
      </c>
      <c r="J45" s="79"/>
      <c r="K45" s="79"/>
      <c r="L45" s="79"/>
      <c r="M45" s="79"/>
      <c r="N45" s="254">
        <v>277023.41467353178</v>
      </c>
      <c r="O45" s="254">
        <v>59741.776172999693</v>
      </c>
      <c r="P45" s="254">
        <v>265139.66038376192</v>
      </c>
      <c r="Q45" s="79"/>
      <c r="R45" s="79"/>
      <c r="S45" s="79"/>
      <c r="T45" s="79"/>
      <c r="U45" s="79"/>
      <c r="V45" s="79"/>
      <c r="W45" s="79"/>
      <c r="X45" s="79"/>
      <c r="Y45" s="79"/>
    </row>
    <row r="46" spans="5:42" x14ac:dyDescent="0.3">
      <c r="E46" s="32"/>
      <c r="F46" s="72" t="s">
        <v>252</v>
      </c>
      <c r="G46" s="72" t="s">
        <v>251</v>
      </c>
      <c r="J46" s="79"/>
      <c r="K46" s="79"/>
      <c r="L46" s="79"/>
      <c r="M46" s="79"/>
      <c r="N46" s="254">
        <v>6657.1664339148783</v>
      </c>
      <c r="O46" s="254">
        <v>852.03215068486224</v>
      </c>
      <c r="P46" s="254">
        <v>963.36585121331063</v>
      </c>
      <c r="Q46" s="79"/>
      <c r="R46" s="79"/>
      <c r="S46" s="79"/>
      <c r="T46" s="79"/>
      <c r="U46" s="79"/>
      <c r="V46" s="79"/>
      <c r="W46" s="79"/>
      <c r="X46" s="79"/>
      <c r="Y46" s="79"/>
    </row>
    <row r="47" spans="5:42" x14ac:dyDescent="0.3">
      <c r="E47" s="32"/>
      <c r="F47" s="80" t="s">
        <v>253</v>
      </c>
      <c r="G47" s="80" t="s">
        <v>254</v>
      </c>
      <c r="H47" s="37"/>
      <c r="I47" s="37"/>
      <c r="J47" s="81"/>
      <c r="K47" s="81"/>
      <c r="L47" s="81"/>
      <c r="M47" s="81"/>
      <c r="N47" s="256">
        <v>43836.097491223634</v>
      </c>
      <c r="O47" s="256">
        <v>9940.4288185239348</v>
      </c>
      <c r="P47" s="256">
        <v>33932.913775275789</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24160.880668327238</v>
      </c>
      <c r="M50" s="83"/>
      <c r="N50" s="253">
        <v>14332.652753814244</v>
      </c>
      <c r="O50" s="253">
        <v>7321.3696127787662</v>
      </c>
      <c r="P50" s="253">
        <v>25205.745356841559</v>
      </c>
      <c r="Q50" s="83"/>
      <c r="R50" s="83"/>
      <c r="S50" s="83"/>
      <c r="T50" s="83"/>
      <c r="U50" s="83"/>
      <c r="V50" s="83"/>
      <c r="W50" s="83"/>
      <c r="X50" s="83"/>
      <c r="Y50" s="83"/>
    </row>
    <row r="51" spans="5:42" x14ac:dyDescent="0.3">
      <c r="E51" s="32"/>
      <c r="F51" s="72" t="s">
        <v>248</v>
      </c>
      <c r="G51" s="72" t="s">
        <v>207</v>
      </c>
      <c r="J51" s="79"/>
      <c r="K51" s="79"/>
      <c r="L51" s="254">
        <v>198959.14114656809</v>
      </c>
      <c r="M51" s="79"/>
      <c r="N51" s="254">
        <v>102901.71701978368</v>
      </c>
      <c r="O51" s="254">
        <v>54014.704138013432</v>
      </c>
      <c r="P51" s="254">
        <v>181003.4557614059</v>
      </c>
      <c r="Q51" s="79"/>
      <c r="R51" s="79"/>
      <c r="S51" s="79"/>
      <c r="T51" s="79"/>
      <c r="U51" s="79"/>
      <c r="V51" s="79"/>
      <c r="W51" s="79"/>
      <c r="X51" s="79"/>
      <c r="Y51" s="79"/>
    </row>
    <row r="52" spans="5:42" x14ac:dyDescent="0.3">
      <c r="E52" s="32"/>
      <c r="F52" s="72" t="s">
        <v>249</v>
      </c>
      <c r="G52" s="72" t="s">
        <v>207</v>
      </c>
      <c r="J52" s="79"/>
      <c r="K52" s="79"/>
      <c r="L52" s="254">
        <v>159130.37853358782</v>
      </c>
      <c r="M52" s="79"/>
      <c r="N52" s="254">
        <v>88059.05319380002</v>
      </c>
      <c r="O52" s="254">
        <v>52387.733112951501</v>
      </c>
      <c r="P52" s="254">
        <v>200089.03673635126</v>
      </c>
      <c r="Q52" s="79"/>
      <c r="R52" s="79"/>
      <c r="S52" s="79"/>
      <c r="T52" s="79"/>
      <c r="U52" s="79"/>
      <c r="V52" s="79"/>
      <c r="W52" s="79"/>
      <c r="X52" s="79"/>
      <c r="Y52" s="79"/>
    </row>
    <row r="53" spans="5:42" x14ac:dyDescent="0.3">
      <c r="E53" s="32"/>
      <c r="F53" s="72" t="s">
        <v>212</v>
      </c>
      <c r="G53" s="72" t="s">
        <v>212</v>
      </c>
      <c r="J53" s="79"/>
      <c r="K53" s="79"/>
      <c r="L53" s="254">
        <v>20069.348725410768</v>
      </c>
      <c r="M53" s="79"/>
      <c r="N53" s="254">
        <v>853.59936953217709</v>
      </c>
      <c r="O53" s="254">
        <v>299.8222071236292</v>
      </c>
      <c r="P53" s="254">
        <v>127.19885249208109</v>
      </c>
      <c r="Q53" s="79"/>
      <c r="R53" s="79"/>
      <c r="S53" s="79"/>
      <c r="T53" s="79"/>
      <c r="U53" s="79"/>
      <c r="V53" s="79"/>
      <c r="W53" s="79"/>
      <c r="X53" s="79"/>
      <c r="Y53" s="79"/>
    </row>
    <row r="54" spans="5:42" x14ac:dyDescent="0.3">
      <c r="E54" s="32"/>
      <c r="F54" s="72" t="s">
        <v>250</v>
      </c>
      <c r="G54" s="72" t="s">
        <v>251</v>
      </c>
      <c r="J54" s="79"/>
      <c r="K54" s="79"/>
      <c r="L54" s="79"/>
      <c r="M54" s="79"/>
      <c r="N54" s="254">
        <v>147462.1666720006</v>
      </c>
      <c r="O54" s="254">
        <v>62924.607165159709</v>
      </c>
      <c r="P54" s="254">
        <v>167696.45030368963</v>
      </c>
      <c r="Q54" s="79"/>
      <c r="R54" s="79"/>
      <c r="S54" s="79"/>
      <c r="T54" s="79"/>
      <c r="U54" s="79"/>
      <c r="V54" s="79"/>
      <c r="W54" s="79"/>
      <c r="X54" s="79"/>
      <c r="Y54" s="79"/>
    </row>
    <row r="55" spans="5:42" x14ac:dyDescent="0.3">
      <c r="E55" s="32"/>
      <c r="F55" s="72" t="s">
        <v>252</v>
      </c>
      <c r="G55" s="72" t="s">
        <v>251</v>
      </c>
      <c r="J55" s="79"/>
      <c r="K55" s="79"/>
      <c r="L55" s="79"/>
      <c r="M55" s="79"/>
      <c r="N55" s="254">
        <v>3543.6722466153269</v>
      </c>
      <c r="O55" s="254">
        <v>897.42541665779731</v>
      </c>
      <c r="P55" s="254">
        <v>609.31296871404868</v>
      </c>
      <c r="Q55" s="79"/>
      <c r="R55" s="79"/>
      <c r="S55" s="79"/>
      <c r="T55" s="79"/>
      <c r="U55" s="79"/>
      <c r="V55" s="79"/>
      <c r="W55" s="79"/>
      <c r="X55" s="79"/>
      <c r="Y55" s="79"/>
    </row>
    <row r="56" spans="5:42" x14ac:dyDescent="0.3">
      <c r="E56" s="32"/>
      <c r="F56" s="80" t="s">
        <v>253</v>
      </c>
      <c r="G56" s="80" t="s">
        <v>254</v>
      </c>
      <c r="H56" s="37"/>
      <c r="I56" s="37"/>
      <c r="J56" s="81"/>
      <c r="K56" s="81"/>
      <c r="L56" s="81"/>
      <c r="M56" s="81"/>
      <c r="N56" s="256">
        <v>21677.370086433762</v>
      </c>
      <c r="O56" s="256">
        <v>10350.560818774673</v>
      </c>
      <c r="P56" s="256">
        <v>22283.735017304152</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78435.616458448712</v>
      </c>
      <c r="M59" s="83"/>
      <c r="N59" s="253">
        <v>16653.660199171805</v>
      </c>
      <c r="O59" s="253">
        <v>28202.556450972552</v>
      </c>
      <c r="P59" s="253">
        <v>68919.12114264624</v>
      </c>
      <c r="Q59" s="83"/>
      <c r="R59" s="83"/>
      <c r="S59" s="83"/>
      <c r="T59" s="83"/>
      <c r="U59" s="83"/>
      <c r="V59" s="83"/>
      <c r="W59" s="83"/>
      <c r="X59" s="83"/>
      <c r="Y59" s="83"/>
    </row>
    <row r="60" spans="5:42" x14ac:dyDescent="0.3">
      <c r="E60" s="32"/>
      <c r="F60" s="72" t="s">
        <v>248</v>
      </c>
      <c r="G60" s="72" t="s">
        <v>207</v>
      </c>
      <c r="J60" s="79"/>
      <c r="K60" s="79"/>
      <c r="L60" s="254">
        <v>645898.76089789951</v>
      </c>
      <c r="M60" s="79"/>
      <c r="N60" s="254">
        <v>119565.4606718048</v>
      </c>
      <c r="O60" s="254">
        <v>208069.36723643003</v>
      </c>
      <c r="P60" s="254">
        <v>494910.93868692045</v>
      </c>
      <c r="Q60" s="79"/>
      <c r="R60" s="79"/>
      <c r="S60" s="79"/>
      <c r="T60" s="79"/>
      <c r="U60" s="79"/>
      <c r="V60" s="79"/>
      <c r="W60" s="79"/>
      <c r="X60" s="79"/>
      <c r="Y60" s="79"/>
    </row>
    <row r="61" spans="5:42" x14ac:dyDescent="0.3">
      <c r="E61" s="32"/>
      <c r="F61" s="72" t="s">
        <v>249</v>
      </c>
      <c r="G61" s="72" t="s">
        <v>207</v>
      </c>
      <c r="J61" s="79"/>
      <c r="K61" s="79"/>
      <c r="L61" s="254">
        <v>516599.10534264491</v>
      </c>
      <c r="M61" s="79"/>
      <c r="N61" s="254">
        <v>102319.19900243658</v>
      </c>
      <c r="O61" s="254">
        <v>201802.1324695473</v>
      </c>
      <c r="P61" s="254">
        <v>547095.92463628517</v>
      </c>
      <c r="Q61" s="79"/>
      <c r="R61" s="79"/>
      <c r="S61" s="79"/>
      <c r="T61" s="79"/>
      <c r="U61" s="79"/>
      <c r="V61" s="79"/>
      <c r="W61" s="79"/>
      <c r="X61" s="79"/>
      <c r="Y61" s="79"/>
    </row>
    <row r="62" spans="5:42" x14ac:dyDescent="0.3">
      <c r="E62" s="32"/>
      <c r="F62" s="72" t="s">
        <v>212</v>
      </c>
      <c r="G62" s="72" t="s">
        <v>212</v>
      </c>
      <c r="J62" s="79"/>
      <c r="K62" s="79"/>
      <c r="L62" s="254">
        <v>20183.108818155033</v>
      </c>
      <c r="M62" s="79"/>
      <c r="N62" s="254">
        <v>537.73481409709484</v>
      </c>
      <c r="O62" s="254">
        <v>572.73729309513794</v>
      </c>
      <c r="P62" s="254">
        <v>136.50608560125775</v>
      </c>
      <c r="Q62" s="79"/>
      <c r="R62" s="79"/>
      <c r="S62" s="79"/>
      <c r="T62" s="79"/>
      <c r="U62" s="79"/>
      <c r="V62" s="79"/>
      <c r="W62" s="79"/>
      <c r="X62" s="79"/>
      <c r="Y62" s="79"/>
    </row>
    <row r="63" spans="5:42" x14ac:dyDescent="0.3">
      <c r="E63" s="32"/>
      <c r="F63" s="72" t="s">
        <v>250</v>
      </c>
      <c r="G63" s="72" t="s">
        <v>251</v>
      </c>
      <c r="J63" s="79"/>
      <c r="K63" s="79"/>
      <c r="L63" s="79"/>
      <c r="M63" s="79"/>
      <c r="N63" s="254">
        <v>171568.13462942591</v>
      </c>
      <c r="O63" s="254">
        <v>248367.22167633311</v>
      </c>
      <c r="P63" s="254">
        <v>426114.12005975784</v>
      </c>
      <c r="Q63" s="79"/>
      <c r="R63" s="79"/>
      <c r="S63" s="79"/>
      <c r="T63" s="79"/>
      <c r="U63" s="79"/>
      <c r="V63" s="79"/>
      <c r="W63" s="79"/>
      <c r="X63" s="79"/>
      <c r="Y63" s="79"/>
    </row>
    <row r="64" spans="5:42" x14ac:dyDescent="0.3">
      <c r="E64" s="32"/>
      <c r="F64" s="72" t="s">
        <v>252</v>
      </c>
      <c r="G64" s="72" t="s">
        <v>251</v>
      </c>
      <c r="J64" s="79"/>
      <c r="K64" s="79"/>
      <c r="L64" s="79"/>
      <c r="M64" s="79"/>
      <c r="N64" s="254">
        <v>4122.9642206613462</v>
      </c>
      <c r="O64" s="254">
        <v>3542.1922748281177</v>
      </c>
      <c r="P64" s="254">
        <v>1548.2549513385443</v>
      </c>
      <c r="Q64" s="79"/>
      <c r="R64" s="79"/>
      <c r="S64" s="79"/>
      <c r="T64" s="79"/>
      <c r="U64" s="79"/>
      <c r="V64" s="79"/>
      <c r="W64" s="79"/>
      <c r="X64" s="79"/>
      <c r="Y64" s="79"/>
    </row>
    <row r="65" spans="4:43" x14ac:dyDescent="0.3">
      <c r="E65" s="32"/>
      <c r="F65" s="80" t="s">
        <v>253</v>
      </c>
      <c r="G65" s="80" t="s">
        <v>254</v>
      </c>
      <c r="H65" s="37"/>
      <c r="I65" s="37"/>
      <c r="J65" s="81"/>
      <c r="K65" s="81"/>
      <c r="L65" s="81"/>
      <c r="M65" s="81"/>
      <c r="N65" s="256">
        <v>25187.769607764145</v>
      </c>
      <c r="O65" s="256">
        <v>39871.266064919306</v>
      </c>
      <c r="P65" s="256">
        <v>60929.578214252637</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5.1069600457863729</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44.031921592651642</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18.658964606730699</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2662.4957515671886</v>
      </c>
      <c r="K79" s="83"/>
      <c r="L79" s="253">
        <v>4.0270931817701605</v>
      </c>
      <c r="M79" s="83"/>
      <c r="N79" s="253">
        <v>52.917081243415204</v>
      </c>
      <c r="O79" s="83"/>
      <c r="P79" s="83"/>
      <c r="Q79" s="253">
        <v>1.377515987053852</v>
      </c>
      <c r="R79" s="83"/>
      <c r="S79" s="83"/>
      <c r="T79" s="83"/>
      <c r="U79" s="83"/>
      <c r="V79" s="83"/>
      <c r="W79" s="83"/>
      <c r="X79" s="83"/>
      <c r="Y79" s="83"/>
    </row>
    <row r="80" spans="4:43" x14ac:dyDescent="0.3">
      <c r="E80" s="32"/>
      <c r="F80" s="72" t="s">
        <v>248</v>
      </c>
      <c r="G80" s="72" t="s">
        <v>207</v>
      </c>
      <c r="J80" s="254">
        <v>14385.094329467913</v>
      </c>
      <c r="K80" s="79"/>
      <c r="L80" s="254">
        <v>34.81985147428901</v>
      </c>
      <c r="M80" s="331"/>
      <c r="N80" s="254">
        <v>373.27659921704941</v>
      </c>
      <c r="O80" s="79"/>
      <c r="P80" s="79"/>
      <c r="Q80" s="255">
        <v>73.782528103874384</v>
      </c>
      <c r="R80" s="79"/>
      <c r="S80" s="79"/>
      <c r="T80" s="79"/>
      <c r="U80" s="79"/>
      <c r="V80" s="79"/>
      <c r="W80" s="79"/>
      <c r="X80" s="79"/>
      <c r="Y80" s="79"/>
    </row>
    <row r="81" spans="5:42" x14ac:dyDescent="0.3">
      <c r="E81" s="32"/>
      <c r="F81" s="72" t="s">
        <v>249</v>
      </c>
      <c r="G81" s="72" t="s">
        <v>207</v>
      </c>
      <c r="J81" s="254">
        <v>14990.768520839179</v>
      </c>
      <c r="K81" s="79"/>
      <c r="L81" s="254">
        <v>23.989961355758282</v>
      </c>
      <c r="M81" s="331"/>
      <c r="N81" s="254">
        <v>379.68247494648642</v>
      </c>
      <c r="O81" s="79"/>
      <c r="P81" s="79"/>
      <c r="Q81" s="255">
        <v>94.532347277294178</v>
      </c>
      <c r="R81" s="79"/>
      <c r="S81" s="79"/>
      <c r="T81" s="79"/>
      <c r="U81" s="79"/>
      <c r="V81" s="79"/>
      <c r="W81" s="79"/>
      <c r="X81" s="79"/>
      <c r="Y81" s="79"/>
    </row>
    <row r="82" spans="5:42" x14ac:dyDescent="0.3">
      <c r="E82" s="32"/>
      <c r="F82" s="72" t="s">
        <v>212</v>
      </c>
      <c r="G82" s="72" t="s">
        <v>212</v>
      </c>
      <c r="J82" s="254">
        <v>11395.451848846675</v>
      </c>
      <c r="K82" s="79"/>
      <c r="L82" s="254">
        <v>102.72993058813056</v>
      </c>
      <c r="M82" s="331"/>
      <c r="N82" s="254">
        <v>17.549170731708863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743.8192057424684</v>
      </c>
      <c r="O83" s="79"/>
      <c r="P83" s="79"/>
      <c r="Q83" s="79"/>
      <c r="R83" s="79"/>
      <c r="S83" s="79"/>
      <c r="T83" s="79"/>
      <c r="U83" s="79"/>
      <c r="V83" s="79"/>
      <c r="W83" s="79"/>
      <c r="X83" s="79"/>
      <c r="Y83" s="79"/>
    </row>
    <row r="84" spans="5:42" x14ac:dyDescent="0.3">
      <c r="E84" s="32"/>
      <c r="F84" s="72" t="s">
        <v>252</v>
      </c>
      <c r="G84" s="72" t="s">
        <v>251</v>
      </c>
      <c r="J84" s="79"/>
      <c r="K84" s="79"/>
      <c r="L84" s="79"/>
      <c r="M84" s="331"/>
      <c r="N84" s="254">
        <v>6.5598439795778951</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121.56717969653396</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18.299000024241248</v>
      </c>
      <c r="M88" s="83"/>
      <c r="N88" s="253">
        <v>63.348420369593839</v>
      </c>
      <c r="O88" s="83"/>
      <c r="P88" s="83"/>
      <c r="Q88" s="83"/>
      <c r="R88" s="83"/>
      <c r="S88" s="83"/>
      <c r="T88" s="83"/>
      <c r="U88" s="83"/>
      <c r="V88" s="83"/>
      <c r="W88" s="83"/>
      <c r="X88" s="83"/>
      <c r="Y88" s="83"/>
    </row>
    <row r="89" spans="5:42" x14ac:dyDescent="0.3">
      <c r="E89" s="32"/>
      <c r="F89" s="72" t="s">
        <v>248</v>
      </c>
      <c r="G89" s="72" t="s">
        <v>207</v>
      </c>
      <c r="J89" s="79"/>
      <c r="K89" s="79"/>
      <c r="L89" s="254">
        <v>158.22044194468219</v>
      </c>
      <c r="M89" s="79"/>
      <c r="N89" s="254">
        <v>446.85916845189809</v>
      </c>
      <c r="O89" s="79"/>
      <c r="P89" s="79"/>
      <c r="Q89" s="79"/>
      <c r="R89" s="79"/>
      <c r="S89" s="79"/>
      <c r="T89" s="79"/>
      <c r="U89" s="79"/>
      <c r="V89" s="79"/>
      <c r="W89" s="79"/>
      <c r="X89" s="79"/>
      <c r="Y89" s="79"/>
    </row>
    <row r="90" spans="5:42" x14ac:dyDescent="0.3">
      <c r="E90" s="32"/>
      <c r="F90" s="72" t="s">
        <v>249</v>
      </c>
      <c r="G90" s="72" t="s">
        <v>207</v>
      </c>
      <c r="J90" s="79"/>
      <c r="K90" s="79"/>
      <c r="L90" s="254">
        <v>109.00972081247018</v>
      </c>
      <c r="M90" s="79"/>
      <c r="N90" s="254">
        <v>454.52780963558484</v>
      </c>
      <c r="O90" s="79"/>
      <c r="P90" s="79"/>
      <c r="Q90" s="79"/>
      <c r="R90" s="79"/>
      <c r="S90" s="79"/>
      <c r="T90" s="79"/>
      <c r="U90" s="79"/>
      <c r="V90" s="79"/>
      <c r="W90" s="79"/>
      <c r="X90" s="79"/>
      <c r="Y90" s="79"/>
    </row>
    <row r="91" spans="5:42" x14ac:dyDescent="0.3">
      <c r="E91" s="32"/>
      <c r="F91" s="72" t="s">
        <v>212</v>
      </c>
      <c r="G91" s="72" t="s">
        <v>212</v>
      </c>
      <c r="J91" s="79"/>
      <c r="K91" s="79"/>
      <c r="L91" s="254">
        <v>78.311185130809903</v>
      </c>
      <c r="M91" s="79"/>
      <c r="N91" s="254">
        <v>11.034984848873593</v>
      </c>
      <c r="O91" s="79"/>
      <c r="P91" s="79"/>
      <c r="Q91" s="79"/>
      <c r="R91" s="79"/>
      <c r="S91" s="79"/>
      <c r="T91" s="79"/>
      <c r="U91" s="79"/>
      <c r="V91" s="79"/>
      <c r="W91" s="79"/>
      <c r="X91" s="79"/>
      <c r="Y91" s="79"/>
    </row>
    <row r="92" spans="5:42" x14ac:dyDescent="0.3">
      <c r="E92" s="32"/>
      <c r="F92" s="72" t="s">
        <v>250</v>
      </c>
      <c r="G92" s="72" t="s">
        <v>251</v>
      </c>
      <c r="J92" s="79"/>
      <c r="K92" s="79"/>
      <c r="L92" s="79"/>
      <c r="M92" s="79"/>
      <c r="N92" s="254">
        <v>1287.4251531599102</v>
      </c>
      <c r="O92" s="79"/>
      <c r="P92" s="79"/>
      <c r="Q92" s="79"/>
      <c r="R92" s="79"/>
      <c r="S92" s="79"/>
      <c r="T92" s="79"/>
      <c r="U92" s="79"/>
      <c r="V92" s="79"/>
      <c r="W92" s="79"/>
      <c r="X92" s="79"/>
      <c r="Y92" s="79"/>
    </row>
    <row r="93" spans="5:42" x14ac:dyDescent="0.3">
      <c r="E93" s="32"/>
      <c r="F93" s="72" t="s">
        <v>252</v>
      </c>
      <c r="G93" s="72" t="s">
        <v>251</v>
      </c>
      <c r="J93" s="79"/>
      <c r="K93" s="79"/>
      <c r="L93" s="79"/>
      <c r="M93" s="79"/>
      <c r="N93" s="254">
        <v>11.353979669943069</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145.5312466524272</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18.370079273054426</v>
      </c>
      <c r="M97" s="83"/>
      <c r="N97" s="253">
        <v>31.326400645440589</v>
      </c>
      <c r="O97" s="83"/>
      <c r="P97" s="83"/>
      <c r="Q97" s="83"/>
      <c r="R97" s="83"/>
      <c r="S97" s="83"/>
      <c r="T97" s="83"/>
      <c r="U97" s="83"/>
      <c r="V97" s="83"/>
      <c r="W97" s="83"/>
      <c r="X97" s="83"/>
      <c r="Y97" s="83"/>
    </row>
    <row r="98" spans="5:42" x14ac:dyDescent="0.3">
      <c r="E98" s="32"/>
      <c r="F98" s="72" t="s">
        <v>248</v>
      </c>
      <c r="G98" s="72" t="s">
        <v>207</v>
      </c>
      <c r="J98" s="79"/>
      <c r="K98" s="79"/>
      <c r="L98" s="254">
        <v>158.83502143784676</v>
      </c>
      <c r="M98" s="79"/>
      <c r="N98" s="254">
        <v>220.97613896828312</v>
      </c>
      <c r="O98" s="79"/>
      <c r="P98" s="79"/>
      <c r="Q98" s="79"/>
      <c r="R98" s="79"/>
      <c r="S98" s="79"/>
      <c r="T98" s="79"/>
      <c r="U98" s="79"/>
      <c r="V98" s="79"/>
      <c r="W98" s="79"/>
      <c r="X98" s="79"/>
      <c r="Y98" s="79"/>
    </row>
    <row r="99" spans="5:42" x14ac:dyDescent="0.3">
      <c r="E99" s="32"/>
      <c r="F99" s="72" t="s">
        <v>249</v>
      </c>
      <c r="G99" s="72" t="s">
        <v>207</v>
      </c>
      <c r="J99" s="79"/>
      <c r="K99" s="79"/>
      <c r="L99" s="254">
        <v>109.43314991014873</v>
      </c>
      <c r="M99" s="79"/>
      <c r="N99" s="254">
        <v>224.76835548646491</v>
      </c>
      <c r="O99" s="79"/>
      <c r="P99" s="79"/>
      <c r="Q99" s="79"/>
      <c r="R99" s="79"/>
      <c r="S99" s="79"/>
      <c r="T99" s="79"/>
      <c r="U99" s="79"/>
      <c r="V99" s="79"/>
      <c r="W99" s="79"/>
      <c r="X99" s="79"/>
      <c r="Y99" s="79"/>
    </row>
    <row r="100" spans="5:42" x14ac:dyDescent="0.3">
      <c r="E100" s="32"/>
      <c r="F100" s="72" t="s">
        <v>212</v>
      </c>
      <c r="G100" s="72" t="s">
        <v>212</v>
      </c>
      <c r="J100" s="79"/>
      <c r="K100" s="79"/>
      <c r="L100" s="254">
        <v>32.764307152372574</v>
      </c>
      <c r="M100" s="79"/>
      <c r="N100" s="254">
        <v>3.5954623141302782</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685.30850627454743</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6.0438300656021067</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71.96659541731205</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59.636422693045517</v>
      </c>
      <c r="M106" s="83"/>
      <c r="N106" s="253">
        <v>36.399349134684648</v>
      </c>
      <c r="O106" s="83"/>
      <c r="P106" s="83"/>
      <c r="Q106" s="83"/>
      <c r="R106" s="83"/>
      <c r="S106" s="83"/>
      <c r="T106" s="83"/>
      <c r="U106" s="83"/>
      <c r="V106" s="83"/>
      <c r="W106" s="83"/>
      <c r="X106" s="83"/>
      <c r="Y106" s="83"/>
    </row>
    <row r="107" spans="5:42" x14ac:dyDescent="0.3">
      <c r="E107" s="32"/>
      <c r="F107" s="72" t="s">
        <v>248</v>
      </c>
      <c r="G107" s="72" t="s">
        <v>207</v>
      </c>
      <c r="J107" s="79"/>
      <c r="K107" s="79"/>
      <c r="L107" s="254">
        <v>515.64026132541517</v>
      </c>
      <c r="M107" s="79"/>
      <c r="N107" s="254">
        <v>256.76067045742155</v>
      </c>
      <c r="O107" s="79"/>
      <c r="P107" s="79"/>
      <c r="Q107" s="79"/>
      <c r="R107" s="79"/>
      <c r="S107" s="79"/>
      <c r="T107" s="79"/>
      <c r="U107" s="79"/>
      <c r="V107" s="79"/>
      <c r="W107" s="79"/>
      <c r="X107" s="79"/>
      <c r="Y107" s="79"/>
    </row>
    <row r="108" spans="5:42" x14ac:dyDescent="0.3">
      <c r="E108" s="32"/>
      <c r="F108" s="72" t="s">
        <v>249</v>
      </c>
      <c r="G108" s="72" t="s">
        <v>207</v>
      </c>
      <c r="J108" s="79"/>
      <c r="K108" s="79"/>
      <c r="L108" s="254">
        <v>355.26257060010624</v>
      </c>
      <c r="M108" s="79"/>
      <c r="N108" s="254">
        <v>261.16699260728871</v>
      </c>
      <c r="O108" s="79"/>
      <c r="P108" s="79"/>
      <c r="Q108" s="79"/>
      <c r="R108" s="79"/>
      <c r="S108" s="79"/>
      <c r="T108" s="79"/>
      <c r="U108" s="79"/>
      <c r="V108" s="79"/>
      <c r="W108" s="79"/>
      <c r="X108" s="79"/>
      <c r="Y108" s="79"/>
    </row>
    <row r="109" spans="5:42" x14ac:dyDescent="0.3">
      <c r="E109" s="32"/>
      <c r="F109" s="72" t="s">
        <v>212</v>
      </c>
      <c r="G109" s="72" t="s">
        <v>212</v>
      </c>
      <c r="J109" s="79"/>
      <c r="K109" s="79"/>
      <c r="L109" s="254">
        <v>32.950026712650889</v>
      </c>
      <c r="M109" s="79"/>
      <c r="N109" s="254">
        <v>2.2650031479540291</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797.33741013536383</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7.0318283921531535</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83.620753698385656</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9.3175685451818087</v>
      </c>
      <c r="U117" s="83"/>
      <c r="V117" s="253">
        <v>0</v>
      </c>
      <c r="W117" s="83"/>
      <c r="X117" s="253">
        <v>0.28793605051586674</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82.718185842262727</v>
      </c>
      <c r="U118" s="79"/>
      <c r="V118" s="254">
        <v>0</v>
      </c>
      <c r="W118" s="79"/>
      <c r="X118" s="254">
        <v>2.9395648662404099</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316.59177029657002</v>
      </c>
      <c r="U119" s="79"/>
      <c r="V119" s="254">
        <v>0</v>
      </c>
      <c r="W119" s="79"/>
      <c r="X119" s="254">
        <v>2.0316824650938816</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4.912912803409677</v>
      </c>
      <c r="U120" s="79"/>
      <c r="V120" s="254">
        <v>0</v>
      </c>
      <c r="W120" s="79"/>
      <c r="X120" s="254">
        <v>0.24209302560552895</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2.1782595025625353</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7813.6855843248686</v>
      </c>
      <c r="K126" s="83"/>
      <c r="L126" s="253">
        <v>40.398450714256612</v>
      </c>
      <c r="M126" s="83"/>
      <c r="N126" s="253">
        <v>1610.7044984066426</v>
      </c>
      <c r="O126" s="253">
        <v>29.824374269733354</v>
      </c>
      <c r="P126" s="253">
        <v>141.35141652837905</v>
      </c>
      <c r="Q126" s="253">
        <v>4.710732375202654</v>
      </c>
      <c r="R126" s="83"/>
      <c r="S126" s="83"/>
      <c r="T126" s="83"/>
      <c r="U126" s="83"/>
      <c r="V126" s="83"/>
      <c r="W126" s="83"/>
      <c r="X126" s="83"/>
      <c r="Y126" s="83"/>
    </row>
    <row r="127" spans="4:43" x14ac:dyDescent="0.3">
      <c r="E127" s="32"/>
      <c r="F127" s="72" t="s">
        <v>248</v>
      </c>
      <c r="G127" s="72" t="s">
        <v>207</v>
      </c>
      <c r="J127" s="254">
        <v>42124.414068561608</v>
      </c>
      <c r="K127" s="79"/>
      <c r="L127" s="254">
        <v>305.64751449019064</v>
      </c>
      <c r="M127" s="331"/>
      <c r="N127" s="254">
        <v>10423.833606379383</v>
      </c>
      <c r="O127" s="254">
        <v>174.22414506600805</v>
      </c>
      <c r="P127" s="254">
        <v>934.81326346239746</v>
      </c>
      <c r="Q127" s="255">
        <v>385.64429086836378</v>
      </c>
      <c r="R127" s="79"/>
      <c r="S127" s="79"/>
      <c r="T127" s="79"/>
      <c r="U127" s="79"/>
      <c r="V127" s="79"/>
      <c r="W127" s="79"/>
      <c r="X127" s="79"/>
      <c r="Y127" s="79"/>
    </row>
    <row r="128" spans="4:43" x14ac:dyDescent="0.3">
      <c r="E128" s="32"/>
      <c r="F128" s="72" t="s">
        <v>249</v>
      </c>
      <c r="G128" s="72" t="s">
        <v>207</v>
      </c>
      <c r="J128" s="254">
        <v>42739.742303409541</v>
      </c>
      <c r="K128" s="79"/>
      <c r="L128" s="254">
        <v>213.48470283376727</v>
      </c>
      <c r="M128" s="331"/>
      <c r="N128" s="254">
        <v>9537.6733030920877</v>
      </c>
      <c r="O128" s="254">
        <v>196.52933498095166</v>
      </c>
      <c r="P128" s="254">
        <v>1191.9373651919088</v>
      </c>
      <c r="Q128" s="255">
        <v>494.29181511786317</v>
      </c>
      <c r="R128" s="79"/>
      <c r="S128" s="79"/>
      <c r="T128" s="79"/>
      <c r="U128" s="79"/>
      <c r="V128" s="79"/>
      <c r="W128" s="79"/>
      <c r="X128" s="79"/>
      <c r="Y128" s="79"/>
    </row>
    <row r="129" spans="5:42" x14ac:dyDescent="0.3">
      <c r="E129" s="32"/>
      <c r="F129" s="72" t="s">
        <v>212</v>
      </c>
      <c r="G129" s="72" t="s">
        <v>212</v>
      </c>
      <c r="J129" s="254">
        <v>33714.381027148498</v>
      </c>
      <c r="K129" s="79"/>
      <c r="L129" s="254">
        <v>432.55612576454951</v>
      </c>
      <c r="M129" s="331"/>
      <c r="N129" s="254">
        <v>137.63780660998748</v>
      </c>
      <c r="O129" s="254">
        <v>1.080346161740628</v>
      </c>
      <c r="P129" s="254">
        <v>4.5172988511399623</v>
      </c>
      <c r="Q129" s="254">
        <v>0.58390516788023794</v>
      </c>
      <c r="R129" s="79"/>
      <c r="S129" s="79"/>
      <c r="T129" s="79"/>
      <c r="U129" s="79"/>
      <c r="V129" s="79"/>
      <c r="W129" s="79"/>
      <c r="X129" s="79"/>
      <c r="Y129" s="79"/>
    </row>
    <row r="130" spans="5:42" x14ac:dyDescent="0.3">
      <c r="E130" s="32"/>
      <c r="F130" s="72" t="s">
        <v>250</v>
      </c>
      <c r="G130" s="72" t="s">
        <v>251</v>
      </c>
      <c r="J130" s="79"/>
      <c r="K130" s="79"/>
      <c r="L130" s="79"/>
      <c r="M130" s="331"/>
      <c r="N130" s="254">
        <v>11053.017172588452</v>
      </c>
      <c r="O130" s="254">
        <v>140.12118119972334</v>
      </c>
      <c r="P130" s="254">
        <v>1196.8181916542871</v>
      </c>
      <c r="Q130" s="79"/>
      <c r="R130" s="79"/>
      <c r="S130" s="79"/>
      <c r="T130" s="79"/>
      <c r="U130" s="79"/>
      <c r="V130" s="79"/>
      <c r="W130" s="79"/>
      <c r="X130" s="79"/>
      <c r="Y130" s="79"/>
    </row>
    <row r="131" spans="5:42" x14ac:dyDescent="0.3">
      <c r="E131" s="32"/>
      <c r="F131" s="72" t="s">
        <v>252</v>
      </c>
      <c r="G131" s="72" t="s">
        <v>251</v>
      </c>
      <c r="J131" s="79"/>
      <c r="K131" s="79"/>
      <c r="L131" s="79"/>
      <c r="M131" s="331"/>
      <c r="N131" s="254">
        <v>52.511460523249077</v>
      </c>
      <c r="O131" s="254">
        <v>0</v>
      </c>
      <c r="P131" s="254">
        <v>0</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1019.7116669502295</v>
      </c>
      <c r="O132" s="256">
        <v>30.195638942669014</v>
      </c>
      <c r="P132" s="256">
        <v>47.65927285120798</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183.5694425810488</v>
      </c>
      <c r="M135" s="83"/>
      <c r="N135" s="253">
        <v>1928.216433308228</v>
      </c>
      <c r="O135" s="253">
        <v>82.348590743356411</v>
      </c>
      <c r="P135" s="253">
        <v>459.51249301391971</v>
      </c>
      <c r="Q135" s="83"/>
      <c r="R135" s="83"/>
      <c r="S135" s="83"/>
      <c r="T135" s="83"/>
      <c r="U135" s="83"/>
      <c r="V135" s="83"/>
      <c r="W135" s="83"/>
      <c r="X135" s="83"/>
      <c r="Y135" s="83"/>
    </row>
    <row r="136" spans="5:42" x14ac:dyDescent="0.3">
      <c r="E136" s="32"/>
      <c r="F136" s="72" t="s">
        <v>248</v>
      </c>
      <c r="G136" s="72" t="s">
        <v>207</v>
      </c>
      <c r="J136" s="79"/>
      <c r="K136" s="79"/>
      <c r="L136" s="341">
        <v>1388.8538513049211</v>
      </c>
      <c r="M136" s="79"/>
      <c r="N136" s="254">
        <v>12478.643523858183</v>
      </c>
      <c r="O136" s="254">
        <v>481.05327172653296</v>
      </c>
      <c r="P136" s="254">
        <v>3038.9392886617607</v>
      </c>
      <c r="Q136" s="79"/>
      <c r="R136" s="79"/>
      <c r="S136" s="79"/>
      <c r="T136" s="79"/>
      <c r="U136" s="79"/>
      <c r="V136" s="79"/>
      <c r="W136" s="79"/>
      <c r="X136" s="79"/>
      <c r="Y136" s="79"/>
    </row>
    <row r="137" spans="5:42" x14ac:dyDescent="0.3">
      <c r="E137" s="32"/>
      <c r="F137" s="72" t="s">
        <v>249</v>
      </c>
      <c r="G137" s="72" t="s">
        <v>207</v>
      </c>
      <c r="J137" s="79"/>
      <c r="K137" s="79"/>
      <c r="L137" s="341">
        <v>970.06858446048329</v>
      </c>
      <c r="M137" s="79"/>
      <c r="N137" s="254">
        <v>11417.797874619437</v>
      </c>
      <c r="O137" s="254">
        <v>542.64051373021755</v>
      </c>
      <c r="P137" s="254">
        <v>3874.8116124171524</v>
      </c>
      <c r="Q137" s="79"/>
      <c r="R137" s="79"/>
      <c r="S137" s="79"/>
      <c r="T137" s="79"/>
      <c r="U137" s="79"/>
      <c r="V137" s="79"/>
      <c r="W137" s="79"/>
      <c r="X137" s="79"/>
      <c r="Y137" s="79"/>
    </row>
    <row r="138" spans="5:42" x14ac:dyDescent="0.3">
      <c r="E138" s="32"/>
      <c r="F138" s="72" t="s">
        <v>212</v>
      </c>
      <c r="G138" s="72" t="s">
        <v>212</v>
      </c>
      <c r="J138" s="79"/>
      <c r="K138" s="79"/>
      <c r="L138" s="254">
        <v>329.7382043410758</v>
      </c>
      <c r="M138" s="79"/>
      <c r="N138" s="254">
        <v>86.547172729312692</v>
      </c>
      <c r="O138" s="254">
        <v>1.504198785668367</v>
      </c>
      <c r="P138" s="254">
        <v>3.9130110662286954</v>
      </c>
      <c r="Q138" s="79"/>
      <c r="R138" s="79"/>
      <c r="S138" s="79"/>
      <c r="T138" s="79"/>
      <c r="U138" s="79"/>
      <c r="V138" s="79"/>
      <c r="W138" s="79"/>
      <c r="X138" s="79"/>
      <c r="Y138" s="79"/>
    </row>
    <row r="139" spans="5:42" x14ac:dyDescent="0.3">
      <c r="E139" s="32"/>
      <c r="F139" s="72" t="s">
        <v>250</v>
      </c>
      <c r="G139" s="72" t="s">
        <v>251</v>
      </c>
      <c r="J139" s="79"/>
      <c r="K139" s="79"/>
      <c r="L139" s="79"/>
      <c r="M139" s="79"/>
      <c r="N139" s="254">
        <v>19130.90199397946</v>
      </c>
      <c r="O139" s="254">
        <v>485.29137050206526</v>
      </c>
      <c r="P139" s="254">
        <v>3778.6116935387367</v>
      </c>
      <c r="Q139" s="79"/>
      <c r="R139" s="79"/>
      <c r="S139" s="79"/>
      <c r="T139" s="79"/>
      <c r="U139" s="79"/>
      <c r="V139" s="79"/>
      <c r="W139" s="79"/>
      <c r="X139" s="79"/>
      <c r="Y139" s="79"/>
    </row>
    <row r="140" spans="5:42" x14ac:dyDescent="0.3">
      <c r="E140" s="32"/>
      <c r="F140" s="72" t="s">
        <v>252</v>
      </c>
      <c r="G140" s="72" t="s">
        <v>251</v>
      </c>
      <c r="J140" s="79"/>
      <c r="K140" s="79"/>
      <c r="L140" s="79"/>
      <c r="M140" s="79"/>
      <c r="N140" s="254">
        <v>90.888450560123303</v>
      </c>
      <c r="O140" s="254">
        <v>0</v>
      </c>
      <c r="P140" s="254">
        <v>0</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1220.7234755938211</v>
      </c>
      <c r="O141" s="256">
        <v>83.373695992255847</v>
      </c>
      <c r="P141" s="256">
        <v>154.93322826865582</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184.28248581108483</v>
      </c>
      <c r="M144" s="83"/>
      <c r="N144" s="253">
        <v>953.52149538252661</v>
      </c>
      <c r="O144" s="253">
        <v>85.746209986548919</v>
      </c>
      <c r="P144" s="253">
        <v>301.76172607151216</v>
      </c>
      <c r="Q144" s="83"/>
      <c r="R144" s="83"/>
      <c r="S144" s="83"/>
      <c r="T144" s="83"/>
      <c r="U144" s="83"/>
      <c r="V144" s="83"/>
      <c r="W144" s="83"/>
      <c r="X144" s="83"/>
      <c r="Y144" s="83"/>
    </row>
    <row r="145" spans="5:42" x14ac:dyDescent="0.3">
      <c r="E145" s="32"/>
      <c r="F145" s="72" t="s">
        <v>248</v>
      </c>
      <c r="G145" s="72" t="s">
        <v>207</v>
      </c>
      <c r="J145" s="79"/>
      <c r="K145" s="79"/>
      <c r="L145" s="254">
        <v>1394.2486099437135</v>
      </c>
      <c r="M145" s="79"/>
      <c r="N145" s="254">
        <v>6170.8087472319148</v>
      </c>
      <c r="O145" s="254">
        <v>500.90104129083045</v>
      </c>
      <c r="P145" s="254">
        <v>1995.6705837491279</v>
      </c>
      <c r="Q145" s="79"/>
      <c r="R145" s="79"/>
      <c r="S145" s="79"/>
      <c r="T145" s="79"/>
      <c r="U145" s="79"/>
      <c r="V145" s="79"/>
      <c r="W145" s="79"/>
      <c r="X145" s="79"/>
      <c r="Y145" s="79"/>
    </row>
    <row r="146" spans="5:42" x14ac:dyDescent="0.3">
      <c r="E146" s="32"/>
      <c r="F146" s="72" t="s">
        <v>249</v>
      </c>
      <c r="G146" s="72" t="s">
        <v>207</v>
      </c>
      <c r="J146" s="79"/>
      <c r="K146" s="79"/>
      <c r="L146" s="254">
        <v>973.83664534847549</v>
      </c>
      <c r="M146" s="79"/>
      <c r="N146" s="254">
        <v>5646.210412543579</v>
      </c>
      <c r="O146" s="254">
        <v>565.02931036829955</v>
      </c>
      <c r="P146" s="254">
        <v>2544.5877057569342</v>
      </c>
      <c r="Q146" s="79"/>
      <c r="R146" s="79"/>
      <c r="S146" s="79"/>
      <c r="T146" s="79"/>
      <c r="U146" s="79"/>
      <c r="V146" s="79"/>
      <c r="W146" s="79"/>
      <c r="X146" s="79"/>
      <c r="Y146" s="79"/>
    </row>
    <row r="147" spans="5:42" x14ac:dyDescent="0.3">
      <c r="E147" s="32"/>
      <c r="F147" s="72" t="s">
        <v>212</v>
      </c>
      <c r="G147" s="72" t="s">
        <v>212</v>
      </c>
      <c r="J147" s="79"/>
      <c r="K147" s="79"/>
      <c r="L147" s="254">
        <v>137.95786373117127</v>
      </c>
      <c r="M147" s="79"/>
      <c r="N147" s="254">
        <v>28.199141385729334</v>
      </c>
      <c r="O147" s="254">
        <v>0.99430089222146278</v>
      </c>
      <c r="P147" s="254">
        <v>1.2184819269522267</v>
      </c>
      <c r="Q147" s="79"/>
      <c r="R147" s="79"/>
      <c r="S147" s="79"/>
      <c r="T147" s="79"/>
      <c r="U147" s="79"/>
      <c r="V147" s="79"/>
      <c r="W147" s="79"/>
      <c r="X147" s="79"/>
      <c r="Y147" s="79"/>
    </row>
    <row r="148" spans="5:42" x14ac:dyDescent="0.3">
      <c r="E148" s="32"/>
      <c r="F148" s="72" t="s">
        <v>250</v>
      </c>
      <c r="G148" s="72" t="s">
        <v>251</v>
      </c>
      <c r="J148" s="79"/>
      <c r="K148" s="79"/>
      <c r="L148" s="79"/>
      <c r="M148" s="79"/>
      <c r="N148" s="254">
        <v>10183.558894278001</v>
      </c>
      <c r="O148" s="254">
        <v>511.14598201861844</v>
      </c>
      <c r="P148" s="254">
        <v>2389.9094053500071</v>
      </c>
      <c r="Q148" s="79"/>
      <c r="R148" s="79"/>
      <c r="S148" s="79"/>
      <c r="T148" s="79"/>
      <c r="U148" s="79"/>
      <c r="V148" s="79"/>
      <c r="W148" s="79"/>
      <c r="X148" s="79"/>
      <c r="Y148" s="79"/>
    </row>
    <row r="149" spans="5:42" x14ac:dyDescent="0.3">
      <c r="E149" s="32"/>
      <c r="F149" s="72" t="s">
        <v>252</v>
      </c>
      <c r="G149" s="72" t="s">
        <v>251</v>
      </c>
      <c r="J149" s="79"/>
      <c r="K149" s="79"/>
      <c r="L149" s="79"/>
      <c r="M149" s="79"/>
      <c r="N149" s="254">
        <v>48.380776263448972</v>
      </c>
      <c r="O149" s="254">
        <v>0</v>
      </c>
      <c r="P149" s="254">
        <v>0</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603.65945118501691</v>
      </c>
      <c r="O150" s="256">
        <v>86.813610037199268</v>
      </c>
      <c r="P150" s="256">
        <v>101.74460781584219</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598.25262892987507</v>
      </c>
      <c r="M153" s="83"/>
      <c r="N153" s="253">
        <v>1107.9332800050458</v>
      </c>
      <c r="O153" s="253">
        <v>330.30190463021313</v>
      </c>
      <c r="P153" s="253">
        <v>825.09573356820545</v>
      </c>
      <c r="Q153" s="83"/>
      <c r="R153" s="83"/>
      <c r="S153" s="83"/>
      <c r="T153" s="83"/>
      <c r="U153" s="83"/>
      <c r="V153" s="83"/>
      <c r="W153" s="83"/>
      <c r="X153" s="83"/>
      <c r="Y153" s="83"/>
    </row>
    <row r="154" spans="5:42" x14ac:dyDescent="0.3">
      <c r="E154" s="32"/>
      <c r="F154" s="72" t="s">
        <v>248</v>
      </c>
      <c r="G154" s="72" t="s">
        <v>207</v>
      </c>
      <c r="J154" s="79"/>
      <c r="K154" s="79"/>
      <c r="L154" s="254">
        <v>4526.2733059490656</v>
      </c>
      <c r="M154" s="79"/>
      <c r="N154" s="254">
        <v>7170.0998967639725</v>
      </c>
      <c r="O154" s="254">
        <v>1929.5146455519418</v>
      </c>
      <c r="P154" s="254">
        <v>5456.6869884246225</v>
      </c>
      <c r="Q154" s="79"/>
      <c r="R154" s="79"/>
      <c r="S154" s="79"/>
      <c r="T154" s="79"/>
      <c r="U154" s="79"/>
      <c r="V154" s="79"/>
      <c r="W154" s="79"/>
      <c r="X154" s="79"/>
      <c r="Y154" s="79"/>
    </row>
    <row r="155" spans="5:42" x14ac:dyDescent="0.3">
      <c r="E155" s="32"/>
      <c r="F155" s="72" t="s">
        <v>249</v>
      </c>
      <c r="G155" s="72" t="s">
        <v>207</v>
      </c>
      <c r="J155" s="79"/>
      <c r="K155" s="79"/>
      <c r="L155" s="254">
        <v>3161.452542078373</v>
      </c>
      <c r="M155" s="79"/>
      <c r="N155" s="254">
        <v>6560.5489254948216</v>
      </c>
      <c r="O155" s="254">
        <v>2176.5423499863377</v>
      </c>
      <c r="P155" s="254">
        <v>6957.5704216796648</v>
      </c>
      <c r="Q155" s="79"/>
      <c r="R155" s="79"/>
      <c r="S155" s="79"/>
      <c r="T155" s="79"/>
      <c r="U155" s="79"/>
      <c r="V155" s="79"/>
      <c r="W155" s="79"/>
      <c r="X155" s="79"/>
      <c r="Y155" s="79"/>
    </row>
    <row r="156" spans="5:42" x14ac:dyDescent="0.3">
      <c r="E156" s="32"/>
      <c r="F156" s="72" t="s">
        <v>212</v>
      </c>
      <c r="G156" s="72" t="s">
        <v>212</v>
      </c>
      <c r="J156" s="79"/>
      <c r="K156" s="79"/>
      <c r="L156" s="254">
        <v>138.73985718734096</v>
      </c>
      <c r="M156" s="79"/>
      <c r="N156" s="254">
        <v>17.764375879358298</v>
      </c>
      <c r="O156" s="254">
        <v>1.8993696530897177</v>
      </c>
      <c r="P156" s="254">
        <v>1.3076391411194628</v>
      </c>
      <c r="Q156" s="79"/>
      <c r="R156" s="79"/>
      <c r="S156" s="79"/>
      <c r="T156" s="79"/>
      <c r="U156" s="79"/>
      <c r="V156" s="79"/>
      <c r="W156" s="79"/>
      <c r="X156" s="79"/>
      <c r="Y156" s="79"/>
    </row>
    <row r="157" spans="5:42" x14ac:dyDescent="0.3">
      <c r="E157" s="32"/>
      <c r="F157" s="72" t="s">
        <v>250</v>
      </c>
      <c r="G157" s="72" t="s">
        <v>251</v>
      </c>
      <c r="J157" s="79"/>
      <c r="K157" s="79"/>
      <c r="L157" s="79"/>
      <c r="M157" s="79"/>
      <c r="N157" s="254">
        <v>11848.287888420948</v>
      </c>
      <c r="O157" s="254">
        <v>2017.5240362132338</v>
      </c>
      <c r="P157" s="254">
        <v>6072.7233130995573</v>
      </c>
      <c r="Q157" s="79"/>
      <c r="R157" s="79"/>
      <c r="S157" s="79"/>
      <c r="T157" s="79"/>
      <c r="U157" s="79"/>
      <c r="V157" s="79"/>
      <c r="W157" s="79"/>
      <c r="X157" s="79"/>
      <c r="Y157" s="79"/>
    </row>
    <row r="158" spans="5:42" x14ac:dyDescent="0.3">
      <c r="E158" s="32"/>
      <c r="F158" s="72" t="s">
        <v>252</v>
      </c>
      <c r="G158" s="72" t="s">
        <v>251</v>
      </c>
      <c r="J158" s="79"/>
      <c r="K158" s="79"/>
      <c r="L158" s="79"/>
      <c r="M158" s="79"/>
      <c r="N158" s="254">
        <v>56.289689231994885</v>
      </c>
      <c r="O158" s="254">
        <v>0</v>
      </c>
      <c r="P158" s="254">
        <v>0</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701.41512173163085</v>
      </c>
      <c r="O159" s="256">
        <v>334.41362303488086</v>
      </c>
      <c r="P159" s="256">
        <v>278.19645292765608</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2680.4702368135927</v>
      </c>
      <c r="K161" s="327">
        <v>0</v>
      </c>
      <c r="L161" s="327">
        <v>46.533029547315067</v>
      </c>
      <c r="M161" s="327">
        <v>0</v>
      </c>
      <c r="N161" s="327">
        <v>0</v>
      </c>
      <c r="O161" s="327">
        <v>0</v>
      </c>
      <c r="P161" s="327">
        <v>0</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4.0137436641223642E-2</v>
      </c>
      <c r="L169" s="257">
        <v>0.18238340185311658</v>
      </c>
      <c r="M169" s="257">
        <v>0.18309183811643903</v>
      </c>
      <c r="N169" s="257">
        <v>0.59438732338922073</v>
      </c>
    </row>
    <row r="170" spans="3:43" x14ac:dyDescent="0.3">
      <c r="E170" s="32"/>
      <c r="F170" s="352" t="s">
        <v>248</v>
      </c>
      <c r="G170" s="352" t="s">
        <v>167</v>
      </c>
      <c r="H170" s="423"/>
      <c r="I170" s="311"/>
      <c r="J170" s="369">
        <v>0</v>
      </c>
      <c r="K170" s="369">
        <f t="shared" ref="K170:N171" si="0">K169</f>
        <v>4.0137436641223642E-2</v>
      </c>
      <c r="L170" s="369">
        <f t="shared" si="0"/>
        <v>0.18238340185311658</v>
      </c>
      <c r="M170" s="369">
        <f t="shared" si="0"/>
        <v>0.18309183811643903</v>
      </c>
      <c r="N170" s="369">
        <f t="shared" si="0"/>
        <v>0.59438732338922073</v>
      </c>
    </row>
    <row r="171" spans="3:43" x14ac:dyDescent="0.3">
      <c r="E171" s="32"/>
      <c r="F171" s="80" t="s">
        <v>249</v>
      </c>
      <c r="G171" s="80" t="s">
        <v>167</v>
      </c>
      <c r="H171" s="424"/>
      <c r="I171" s="37"/>
      <c r="J171" s="258">
        <v>0</v>
      </c>
      <c r="K171" s="258">
        <f t="shared" si="0"/>
        <v>4.0137436641223642E-2</v>
      </c>
      <c r="L171" s="258">
        <f t="shared" si="0"/>
        <v>0.18238340185311658</v>
      </c>
      <c r="M171" s="258">
        <f t="shared" si="0"/>
        <v>0.18309183811643903</v>
      </c>
      <c r="N171" s="258">
        <f t="shared" si="0"/>
        <v>0.59438732338922073</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4.0137436641223642E-2</v>
      </c>
      <c r="L174" s="257">
        <v>0.18238340185311658</v>
      </c>
      <c r="M174" s="257">
        <v>0.18309183811643903</v>
      </c>
      <c r="N174" s="257">
        <v>0.59438732338922073</v>
      </c>
    </row>
    <row r="175" spans="3:43" x14ac:dyDescent="0.3">
      <c r="E175" s="32"/>
      <c r="F175" s="352" t="s">
        <v>248</v>
      </c>
      <c r="G175" s="352" t="s">
        <v>167</v>
      </c>
      <c r="H175" s="423"/>
      <c r="I175" s="311"/>
      <c r="J175" s="369">
        <v>0</v>
      </c>
      <c r="K175" s="369">
        <f t="shared" ref="K175:N176" si="1">K174</f>
        <v>4.0137436641223642E-2</v>
      </c>
      <c r="L175" s="369">
        <f t="shared" si="1"/>
        <v>0.18238340185311658</v>
      </c>
      <c r="M175" s="369">
        <f t="shared" si="1"/>
        <v>0.18309183811643903</v>
      </c>
      <c r="N175" s="369">
        <f t="shared" si="1"/>
        <v>0.59438732338922073</v>
      </c>
    </row>
    <row r="176" spans="3:43" x14ac:dyDescent="0.3">
      <c r="E176" s="32"/>
      <c r="F176" s="80" t="s">
        <v>249</v>
      </c>
      <c r="G176" s="80" t="s">
        <v>167</v>
      </c>
      <c r="H176" s="424"/>
      <c r="I176" s="37"/>
      <c r="J176" s="258">
        <v>0</v>
      </c>
      <c r="K176" s="258">
        <f t="shared" si="1"/>
        <v>4.0137436641223642E-2</v>
      </c>
      <c r="L176" s="258">
        <f t="shared" si="1"/>
        <v>0.18238340185311658</v>
      </c>
      <c r="M176" s="258">
        <f t="shared" si="1"/>
        <v>0.18309183811643903</v>
      </c>
      <c r="N176" s="258">
        <f t="shared" si="1"/>
        <v>0.59438732338922073</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4.0137436641223642E-2</v>
      </c>
      <c r="L179" s="257">
        <v>0.18238340185311658</v>
      </c>
      <c r="M179" s="257">
        <v>0.18309183811643903</v>
      </c>
      <c r="N179" s="257">
        <v>0.59438732338922073</v>
      </c>
    </row>
    <row r="180" spans="3:43" x14ac:dyDescent="0.3">
      <c r="E180" s="32"/>
      <c r="F180" s="352" t="s">
        <v>248</v>
      </c>
      <c r="G180" s="352" t="s">
        <v>167</v>
      </c>
      <c r="H180" s="423"/>
      <c r="I180" s="311"/>
      <c r="J180" s="369">
        <v>0</v>
      </c>
      <c r="K180" s="369">
        <f t="shared" ref="K180:N181" si="2">K179</f>
        <v>4.0137436641223642E-2</v>
      </c>
      <c r="L180" s="369">
        <f t="shared" si="2"/>
        <v>0.18238340185311658</v>
      </c>
      <c r="M180" s="369">
        <f t="shared" si="2"/>
        <v>0.18309183811643903</v>
      </c>
      <c r="N180" s="369">
        <f t="shared" si="2"/>
        <v>0.59438732338922073</v>
      </c>
    </row>
    <row r="181" spans="3:43" x14ac:dyDescent="0.3">
      <c r="E181" s="32"/>
      <c r="F181" s="80" t="s">
        <v>249</v>
      </c>
      <c r="G181" s="80" t="s">
        <v>167</v>
      </c>
      <c r="H181" s="424"/>
      <c r="I181" s="37"/>
      <c r="J181" s="258">
        <v>0</v>
      </c>
      <c r="K181" s="258">
        <f t="shared" si="2"/>
        <v>4.0137436641223642E-2</v>
      </c>
      <c r="L181" s="258">
        <f t="shared" si="2"/>
        <v>0.18238340185311658</v>
      </c>
      <c r="M181" s="258">
        <f t="shared" si="2"/>
        <v>0.18309183811643903</v>
      </c>
      <c r="N181" s="258">
        <f t="shared" si="2"/>
        <v>0.59438732338922073</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M6" activePane="bottomRight" state="frozen"/>
      <selection pane="topRight"/>
      <selection pane="bottomLeft"/>
      <selection pane="bottomRight" activeCell="P33" sqref="P33"/>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2.1999999999999999E-2</v>
      </c>
      <c r="L15" s="259">
        <v>3.1E-2</v>
      </c>
      <c r="M15" s="94"/>
      <c r="N15" s="259">
        <v>7.4999999999999997E-2</v>
      </c>
      <c r="O15" s="94"/>
      <c r="P15" s="77"/>
      <c r="Q15" s="259">
        <v>0.37</v>
      </c>
      <c r="R15" s="66"/>
      <c r="S15" s="66"/>
      <c r="U15" s="63" t="s">
        <v>280</v>
      </c>
    </row>
    <row r="17" spans="3:27" x14ac:dyDescent="0.3">
      <c r="E17" s="28" t="s">
        <v>281</v>
      </c>
      <c r="G17" s="28" t="s">
        <v>167</v>
      </c>
      <c r="H17" s="28"/>
      <c r="I17" s="95"/>
      <c r="J17" s="94"/>
      <c r="K17" s="66"/>
      <c r="L17" s="66"/>
      <c r="M17" s="66"/>
      <c r="N17" s="66"/>
      <c r="O17" s="66"/>
      <c r="P17" s="259"/>
      <c r="Q17" s="66"/>
      <c r="R17" s="66"/>
      <c r="S17" s="66"/>
    </row>
    <row r="19" spans="3:27" x14ac:dyDescent="0.3">
      <c r="E19" s="28" t="s">
        <v>282</v>
      </c>
      <c r="G19" s="28" t="s">
        <v>283</v>
      </c>
      <c r="I19" t="s">
        <v>154</v>
      </c>
      <c r="J19" s="79"/>
      <c r="K19" s="254">
        <v>1</v>
      </c>
      <c r="L19" s="254">
        <v>1.0009999999999999</v>
      </c>
      <c r="M19" s="254">
        <v>1.004</v>
      </c>
      <c r="N19" s="254">
        <v>1.0109999999999999</v>
      </c>
      <c r="O19" s="254">
        <v>1.016</v>
      </c>
      <c r="P19" s="79"/>
      <c r="Q19" s="254">
        <v>1.0329999999999999</v>
      </c>
      <c r="R19" s="254">
        <v>1.046</v>
      </c>
      <c r="S19" s="254">
        <v>1.0609999999999999</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0.15639750326533342</v>
      </c>
      <c r="L21" s="254">
        <v>0.15639750326533342</v>
      </c>
      <c r="M21" s="254">
        <v>0.15639750326533342</v>
      </c>
      <c r="N21" s="254">
        <v>0.15639750326533342</v>
      </c>
      <c r="O21" s="254">
        <v>0.15639750326533342</v>
      </c>
      <c r="P21" s="254">
        <v>0.15639750326533342</v>
      </c>
      <c r="Q21" s="254">
        <v>0.15639750326533342</v>
      </c>
      <c r="R21" s="254">
        <v>0.15639750326533342</v>
      </c>
      <c r="S21" s="254">
        <v>0.15639750326533342</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0.81</v>
      </c>
      <c r="P26" s="257">
        <v>0</v>
      </c>
      <c r="Q26" s="257">
        <v>0.81</v>
      </c>
      <c r="R26" s="257">
        <v>0.95</v>
      </c>
      <c r="S26" s="257">
        <v>0.95</v>
      </c>
    </row>
    <row r="27" spans="3:27" x14ac:dyDescent="0.3">
      <c r="F27" s="28" t="s">
        <v>185</v>
      </c>
      <c r="G27" s="28" t="s">
        <v>167</v>
      </c>
      <c r="J27" s="66"/>
      <c r="K27" s="66"/>
      <c r="L27" s="252">
        <v>0</v>
      </c>
      <c r="M27" s="252">
        <v>0</v>
      </c>
      <c r="N27" s="252">
        <v>0</v>
      </c>
      <c r="O27" s="252">
        <v>0.81</v>
      </c>
      <c r="P27" s="252">
        <v>0</v>
      </c>
      <c r="Q27" s="252">
        <v>0.81</v>
      </c>
      <c r="R27" s="252">
        <v>0.95</v>
      </c>
      <c r="S27" s="70"/>
    </row>
    <row r="28" spans="3:27" x14ac:dyDescent="0.3">
      <c r="F28" s="28" t="s">
        <v>184</v>
      </c>
      <c r="G28" s="28" t="s">
        <v>167</v>
      </c>
      <c r="J28" s="66"/>
      <c r="K28" s="66"/>
      <c r="L28" s="252">
        <v>0</v>
      </c>
      <c r="M28" s="252">
        <v>0.67</v>
      </c>
      <c r="N28" s="252">
        <v>0.67</v>
      </c>
      <c r="O28" s="252">
        <v>1</v>
      </c>
      <c r="P28" s="252">
        <v>0</v>
      </c>
      <c r="Q28" s="252">
        <v>1</v>
      </c>
      <c r="R28" s="70"/>
      <c r="S28" s="70"/>
    </row>
    <row r="29" spans="3:27" x14ac:dyDescent="0.3">
      <c r="F29" s="67" t="s">
        <v>183</v>
      </c>
      <c r="G29" s="67" t="s">
        <v>167</v>
      </c>
      <c r="H29" s="37"/>
      <c r="I29" s="37"/>
      <c r="J29" s="68"/>
      <c r="K29" s="68"/>
      <c r="L29" s="258">
        <v>0</v>
      </c>
      <c r="M29" s="258">
        <v>0.67</v>
      </c>
      <c r="N29" s="258">
        <v>0.67</v>
      </c>
      <c r="O29" s="258">
        <v>1</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119997950.17931181</v>
      </c>
      <c r="M33" s="254">
        <v>17016318.446544141</v>
      </c>
      <c r="N33" s="254">
        <v>44656157.054293722</v>
      </c>
      <c r="O33" s="254">
        <v>43065035.799319491</v>
      </c>
      <c r="P33" s="254">
        <v>0</v>
      </c>
      <c r="Q33" s="254">
        <v>165280869.95073906</v>
      </c>
      <c r="R33" s="254">
        <v>71591243.09634316</v>
      </c>
      <c r="S33" s="254">
        <v>170272161.25255236</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0.86968448709933899</v>
      </c>
      <c r="L40" s="257">
        <v>0.86215034863226891</v>
      </c>
      <c r="M40" s="257">
        <v>0.86215034863226891</v>
      </c>
      <c r="N40" s="257">
        <v>0.61577106197342923</v>
      </c>
      <c r="O40" s="257">
        <v>0.61577106197342923</v>
      </c>
      <c r="P40" s="257">
        <v>0.86215034863226891</v>
      </c>
      <c r="Q40" s="257">
        <v>0.61577106197342923</v>
      </c>
      <c r="R40" s="257">
        <v>0.61577106197342923</v>
      </c>
      <c r="S40" s="257">
        <v>0.61577106197342923</v>
      </c>
    </row>
    <row r="41" spans="2:27" x14ac:dyDescent="0.3">
      <c r="F41" t="s">
        <v>295</v>
      </c>
      <c r="G41" s="72" t="s">
        <v>167</v>
      </c>
      <c r="J41" s="66"/>
      <c r="K41" s="252">
        <v>0.13031551290066112</v>
      </c>
      <c r="L41" s="252">
        <v>0.12091051771447155</v>
      </c>
      <c r="M41" s="252">
        <v>0.12091051771447155</v>
      </c>
      <c r="N41" s="252">
        <v>0.33829193174578481</v>
      </c>
      <c r="O41" s="252">
        <v>0.33829193174578481</v>
      </c>
      <c r="P41" s="252">
        <v>0.12091051771447155</v>
      </c>
      <c r="Q41" s="252">
        <v>0.33829193174578481</v>
      </c>
      <c r="R41" s="252">
        <v>0.33829193174578481</v>
      </c>
      <c r="S41" s="252">
        <v>0.33829193174578481</v>
      </c>
    </row>
    <row r="42" spans="2:27" x14ac:dyDescent="0.3">
      <c r="F42" s="37" t="s">
        <v>257</v>
      </c>
      <c r="G42" s="80" t="s">
        <v>167</v>
      </c>
      <c r="H42" s="37"/>
      <c r="I42" s="37"/>
      <c r="J42" s="68"/>
      <c r="K42" s="258">
        <v>0</v>
      </c>
      <c r="L42" s="258">
        <v>1.6939133653259563E-2</v>
      </c>
      <c r="M42" s="258">
        <v>1.6939133653259563E-2</v>
      </c>
      <c r="N42" s="258">
        <v>4.5937006280785918E-2</v>
      </c>
      <c r="O42" s="258">
        <v>4.5937006280785918E-2</v>
      </c>
      <c r="P42" s="258">
        <v>1.6939133653259563E-2</v>
      </c>
      <c r="Q42" s="258">
        <v>4.5937006280785918E-2</v>
      </c>
      <c r="R42" s="258">
        <v>4.5937006280785918E-2</v>
      </c>
      <c r="S42" s="258">
        <v>4.5937006280785918E-2</v>
      </c>
    </row>
    <row r="43" spans="2:27" x14ac:dyDescent="0.3">
      <c r="F43" s="37" t="s">
        <v>296</v>
      </c>
      <c r="G43" s="80" t="s">
        <v>167</v>
      </c>
      <c r="H43" s="37"/>
      <c r="I43" s="37"/>
      <c r="J43" s="68"/>
      <c r="K43" s="258">
        <v>0.64575349232317547</v>
      </c>
      <c r="L43" s="258">
        <v>0.75685404834867731</v>
      </c>
      <c r="M43" s="258">
        <v>0.75685404834867731</v>
      </c>
      <c r="N43" s="258">
        <v>0.47038069742442074</v>
      </c>
      <c r="O43" s="258">
        <v>0.47038069742442074</v>
      </c>
      <c r="P43" s="258">
        <v>0.75685404834867731</v>
      </c>
      <c r="Q43" s="258">
        <v>0.47038069742442074</v>
      </c>
      <c r="R43" s="258">
        <v>0.47038069742442074</v>
      </c>
      <c r="S43" s="258">
        <v>0.47038069742442074</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sheet="1" objects="1"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43" activePane="bottomLeft" state="frozen"/>
      <selection pane="bottomLeft" activeCell="H53" sqref="H53"/>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South West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152</v>
      </c>
    </row>
    <row r="17" spans="3:27" x14ac:dyDescent="0.3">
      <c r="E17" s="28" t="s">
        <v>305</v>
      </c>
      <c r="F17" s="28"/>
      <c r="G17" s="13" t="s">
        <v>304</v>
      </c>
      <c r="H17" s="254">
        <v>3814</v>
      </c>
    </row>
    <row r="18" spans="3:27" x14ac:dyDescent="0.3">
      <c r="E18" s="67" t="s">
        <v>257</v>
      </c>
      <c r="F18" s="67"/>
      <c r="G18" s="86" t="s">
        <v>304</v>
      </c>
      <c r="H18" s="256">
        <v>4794</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522</v>
      </c>
    </row>
    <row r="22" spans="3:27" x14ac:dyDescent="0.3">
      <c r="E22" t="s">
        <v>295</v>
      </c>
      <c r="G22" s="13" t="s">
        <v>304</v>
      </c>
      <c r="H22" s="254">
        <v>3444</v>
      </c>
    </row>
    <row r="23" spans="3:27" x14ac:dyDescent="0.3">
      <c r="E23" s="37" t="s">
        <v>257</v>
      </c>
      <c r="F23" s="37"/>
      <c r="G23" s="86" t="s">
        <v>304</v>
      </c>
      <c r="H23" s="256">
        <v>4794</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0.38089985064832788</v>
      </c>
      <c r="J30" s="438"/>
    </row>
    <row r="31" spans="3:27" x14ac:dyDescent="0.3">
      <c r="E31" s="28" t="s">
        <v>177</v>
      </c>
      <c r="G31" s="72" t="s">
        <v>167</v>
      </c>
      <c r="H31" s="252">
        <v>0.57501376699133966</v>
      </c>
      <c r="J31" s="438"/>
    </row>
    <row r="32" spans="3:27" x14ac:dyDescent="0.3">
      <c r="E32" s="28" t="s">
        <v>178</v>
      </c>
      <c r="G32" s="72" t="s">
        <v>167</v>
      </c>
      <c r="H32" s="252">
        <v>0.30026377203686194</v>
      </c>
      <c r="J32" s="438"/>
    </row>
    <row r="33" spans="3:27" x14ac:dyDescent="0.3">
      <c r="E33" s="67" t="s">
        <v>179</v>
      </c>
      <c r="F33" s="37"/>
      <c r="G33" s="80" t="s">
        <v>167</v>
      </c>
      <c r="H33" s="258">
        <v>0.17052516507035737</v>
      </c>
      <c r="J33" s="438"/>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311700000</v>
      </c>
    </row>
    <row r="41" spans="3:27" x14ac:dyDescent="0.3">
      <c r="E41" t="s">
        <v>313</v>
      </c>
      <c r="G41" t="s">
        <v>277</v>
      </c>
      <c r="H41" s="254">
        <v>-37786506.16450265</v>
      </c>
    </row>
    <row r="42" spans="3:27" x14ac:dyDescent="0.3">
      <c r="E42" t="s">
        <v>314</v>
      </c>
      <c r="G42" t="s">
        <v>277</v>
      </c>
      <c r="H42" s="254">
        <v>-2265183.8415210028</v>
      </c>
    </row>
    <row r="43" spans="3:27" x14ac:dyDescent="0.3">
      <c r="E43" s="37" t="s">
        <v>315</v>
      </c>
      <c r="F43" s="37"/>
      <c r="G43" s="37" t="s">
        <v>283</v>
      </c>
      <c r="H43" s="256">
        <v>1.2769999999999999</v>
      </c>
    </row>
    <row r="44" spans="3:27" x14ac:dyDescent="0.3">
      <c r="E44" t="s">
        <v>316</v>
      </c>
      <c r="G44" t="s">
        <v>277</v>
      </c>
      <c r="H44" s="98">
        <f>SUM(H40:H42)</f>
        <v>271648309.99397635</v>
      </c>
    </row>
    <row r="45" spans="3:27" x14ac:dyDescent="0.3">
      <c r="E45" t="s">
        <v>317</v>
      </c>
      <c r="G45" t="s">
        <v>277</v>
      </c>
      <c r="H45" s="98">
        <f>H44 * (H43 - 1)</f>
        <v>75246581.868331432</v>
      </c>
    </row>
    <row r="46" spans="3:27" x14ac:dyDescent="0.3">
      <c r="H46" s="89"/>
    </row>
    <row r="47" spans="3:27" x14ac:dyDescent="0.3">
      <c r="E47" t="s">
        <v>318</v>
      </c>
      <c r="G47" t="s">
        <v>277</v>
      </c>
      <c r="H47" s="254">
        <v>307947.74075425416</v>
      </c>
    </row>
    <row r="48" spans="3:27" x14ac:dyDescent="0.3">
      <c r="E48" t="s">
        <v>319</v>
      </c>
      <c r="G48" t="s">
        <v>277</v>
      </c>
      <c r="H48" s="254">
        <v>-5252226.247892064</v>
      </c>
    </row>
    <row r="49" spans="5:8" x14ac:dyDescent="0.3">
      <c r="E49" t="s">
        <v>320</v>
      </c>
      <c r="G49" t="s">
        <v>277</v>
      </c>
      <c r="H49" s="254">
        <v>-4088934.3049956262</v>
      </c>
    </row>
    <row r="50" spans="5:8" x14ac:dyDescent="0.3">
      <c r="E50" t="s">
        <v>321</v>
      </c>
      <c r="G50" t="s">
        <v>277</v>
      </c>
      <c r="H50" s="254">
        <v>1376792.0958342992</v>
      </c>
    </row>
    <row r="51" spans="5:8" x14ac:dyDescent="0.3">
      <c r="E51" t="s">
        <v>322</v>
      </c>
      <c r="G51" t="s">
        <v>277</v>
      </c>
      <c r="H51" s="254">
        <v>-397424.75879521685</v>
      </c>
    </row>
    <row r="52" spans="5:8" x14ac:dyDescent="0.3">
      <c r="E52" t="s">
        <v>323</v>
      </c>
      <c r="G52" t="s">
        <v>277</v>
      </c>
      <c r="H52" s="254">
        <v>45039.186519326053</v>
      </c>
    </row>
    <row r="53" spans="5:8" x14ac:dyDescent="0.3">
      <c r="E53" t="s">
        <v>873</v>
      </c>
      <c r="G53" t="s">
        <v>277</v>
      </c>
      <c r="H53" s="254">
        <v>53693143.915295348</v>
      </c>
    </row>
    <row r="54" spans="5:8" x14ac:dyDescent="0.3">
      <c r="E54" t="s">
        <v>874</v>
      </c>
      <c r="G54" t="s">
        <v>277</v>
      </c>
      <c r="H54" s="254">
        <v>592045.11275566602</v>
      </c>
    </row>
    <row r="55" spans="5:8" x14ac:dyDescent="0.3">
      <c r="E55" s="37" t="s">
        <v>324</v>
      </c>
      <c r="F55" s="37"/>
      <c r="G55" s="37" t="s">
        <v>277</v>
      </c>
      <c r="H55" s="256"/>
    </row>
    <row r="56" spans="5:8" x14ac:dyDescent="0.3">
      <c r="E56" t="s">
        <v>325</v>
      </c>
      <c r="G56" t="s">
        <v>277</v>
      </c>
      <c r="H56" s="99">
        <f>SUM(H47:H55)</f>
        <v>46276382.739475988</v>
      </c>
    </row>
    <row r="57" spans="5:8" x14ac:dyDescent="0.3">
      <c r="H57" s="89"/>
    </row>
    <row r="58" spans="5:8" x14ac:dyDescent="0.3">
      <c r="E58" t="s">
        <v>326</v>
      </c>
      <c r="G58" t="s">
        <v>277</v>
      </c>
      <c r="H58" s="254">
        <v>4804065.4800858311</v>
      </c>
    </row>
    <row r="59" spans="5:8" x14ac:dyDescent="0.3">
      <c r="E59" t="s">
        <v>327</v>
      </c>
      <c r="G59" t="s">
        <v>277</v>
      </c>
      <c r="H59" s="254">
        <v>3135438.9239567332</v>
      </c>
    </row>
    <row r="60" spans="5:8" x14ac:dyDescent="0.3">
      <c r="E60" t="s">
        <v>328</v>
      </c>
      <c r="G60" t="s">
        <v>277</v>
      </c>
      <c r="H60" s="254"/>
    </row>
    <row r="61" spans="5:8" x14ac:dyDescent="0.3">
      <c r="E61" t="s">
        <v>329</v>
      </c>
      <c r="G61" t="s">
        <v>277</v>
      </c>
      <c r="H61" s="254">
        <v>1184170.2253896154</v>
      </c>
    </row>
    <row r="62" spans="5:8" x14ac:dyDescent="0.3">
      <c r="E62" t="s">
        <v>330</v>
      </c>
      <c r="G62" t="s">
        <v>277</v>
      </c>
      <c r="H62" s="254"/>
    </row>
    <row r="63" spans="5:8" x14ac:dyDescent="0.3">
      <c r="E63" t="s">
        <v>331</v>
      </c>
      <c r="G63" t="s">
        <v>277</v>
      </c>
      <c r="H63" s="254">
        <v>755740.29600000009</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9879414.9254321791</v>
      </c>
    </row>
    <row r="70" spans="5:10" x14ac:dyDescent="0.3">
      <c r="H70" s="89"/>
    </row>
    <row r="71" spans="5:10" x14ac:dyDescent="0.3">
      <c r="E71" s="37" t="s">
        <v>338</v>
      </c>
      <c r="F71" s="37"/>
      <c r="G71" s="37" t="s">
        <v>277</v>
      </c>
      <c r="H71" s="256">
        <v>14450787.293306479</v>
      </c>
      <c r="J71" s="437"/>
    </row>
    <row r="72" spans="5:10" x14ac:dyDescent="0.3">
      <c r="E72" t="s">
        <v>339</v>
      </c>
      <c r="G72" t="s">
        <v>277</v>
      </c>
      <c r="H72" s="98">
        <f>H71 + H69 + H56 + H45 + H44</f>
        <v>417501476.82052243</v>
      </c>
      <c r="J72" s="437"/>
    </row>
    <row r="73" spans="5:10" x14ac:dyDescent="0.3">
      <c r="H73" s="89"/>
    </row>
    <row r="74" spans="5:10" x14ac:dyDescent="0.3">
      <c r="E74" t="s">
        <v>340</v>
      </c>
      <c r="G74" t="s">
        <v>277</v>
      </c>
      <c r="H74" s="254"/>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417501476.82052243</v>
      </c>
    </row>
    <row r="81" spans="3:27" x14ac:dyDescent="0.3">
      <c r="H81" s="89"/>
    </row>
    <row r="82" spans="3:27" x14ac:dyDescent="0.3">
      <c r="E82" t="s">
        <v>347</v>
      </c>
      <c r="G82" t="s">
        <v>277</v>
      </c>
      <c r="H82" s="254">
        <v>5041979.9884207435</v>
      </c>
      <c r="J82" s="439"/>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5041979.9884207435</v>
      </c>
    </row>
    <row r="87" spans="3:27" x14ac:dyDescent="0.3">
      <c r="E87" s="23" t="s">
        <v>352</v>
      </c>
      <c r="F87" s="23"/>
      <c r="G87" s="23" t="s">
        <v>277</v>
      </c>
      <c r="H87" s="101">
        <f>H80-H86</f>
        <v>412459496.8321017</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7882274.8188666767</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42469907.740630858</v>
      </c>
    </row>
    <row r="103" spans="2:27" x14ac:dyDescent="0.3">
      <c r="F103" s="28" t="s">
        <v>361</v>
      </c>
      <c r="G103" t="s">
        <v>357</v>
      </c>
      <c r="H103" s="254">
        <v>113775314.19333273</v>
      </c>
      <c r="R103" s="88"/>
      <c r="S103" s="88"/>
    </row>
    <row r="104" spans="2:27" x14ac:dyDescent="0.3">
      <c r="F104" s="67" t="s">
        <v>362</v>
      </c>
      <c r="G104" s="37" t="s">
        <v>357</v>
      </c>
      <c r="H104" s="256">
        <v>20599994.426368002</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6525fcc-fd9b-4a18-b571-66fa38027e5b"/>
    <ds:schemaRef ds:uri="http://www.w3.org/XML/1998/namespace"/>
  </ds:schemaRefs>
</ds:datastoreItem>
</file>

<file path=customXml/itemProps2.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2022-01-28T14:45:12Z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