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4\Current Charging Models from DCUSA\Broken Links\"/>
    </mc:Choice>
  </mc:AlternateContent>
  <workbookProtection lockStructure="1"/>
  <bookViews>
    <workbookView xWindow="-120" yWindow="-120" windowWidth="19290" windowHeight="10890"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86" l="1"/>
  <c r="M21" i="86" s="1"/>
  <c r="N21" i="86" s="1"/>
  <c r="O21" i="86" s="1"/>
  <c r="P21" i="86" s="1"/>
  <c r="Q21" i="86" s="1"/>
  <c r="R21" i="86" s="1"/>
  <c r="S21" i="86" s="1"/>
  <c r="K170" i="87" l="1"/>
  <c r="K175" i="87" s="1"/>
  <c r="K180" i="87" s="1"/>
  <c r="K169" i="87"/>
  <c r="K174" i="87" s="1"/>
  <c r="K179" i="87" s="1"/>
  <c r="L171" i="87"/>
  <c r="L176" i="87" s="1"/>
  <c r="L181" i="87" s="1"/>
  <c r="L169" i="87"/>
  <c r="L174" i="87" s="1"/>
  <c r="L179" i="87" s="1"/>
  <c r="M171" i="87"/>
  <c r="M176" i="87" s="1"/>
  <c r="M181" i="87" s="1"/>
  <c r="N170" i="87"/>
  <c r="N175" i="87" s="1"/>
  <c r="N180" i="87" s="1"/>
  <c r="J170" i="87"/>
  <c r="J175" i="87" s="1"/>
  <c r="J180" i="87" s="1"/>
  <c r="M170" i="87"/>
  <c r="M175" i="87" s="1"/>
  <c r="M180" i="87" s="1"/>
  <c r="N169" i="87"/>
  <c r="N174" i="87" s="1"/>
  <c r="N179" i="87" s="1"/>
  <c r="M169" i="87"/>
  <c r="M174" i="87" s="1"/>
  <c r="M179" i="87" s="1"/>
  <c r="J169" i="87"/>
  <c r="J174" i="87" s="1"/>
  <c r="J179" i="87" s="1"/>
  <c r="K171" i="87"/>
  <c r="K176" i="87" s="1"/>
  <c r="K181" i="87" s="1"/>
  <c r="L170" i="87"/>
  <c r="L175" i="87" s="1"/>
  <c r="L180" i="87" s="1"/>
  <c r="J171" i="87"/>
  <c r="J176" i="87" s="1"/>
  <c r="J181" i="87" s="1"/>
  <c r="N171" i="87"/>
  <c r="N176" i="87" s="1"/>
  <c r="N181" i="87" s="1"/>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R36" i="105"/>
  <c r="AB47" i="105"/>
  <c r="W36" i="105"/>
  <c r="W141" i="105" s="1"/>
  <c r="Z36" i="105"/>
  <c r="Z141" i="105" s="1"/>
  <c r="AB36" i="105"/>
  <c r="AB141" i="105" s="1"/>
  <c r="AF147" i="105"/>
  <c r="AD147" i="105"/>
  <c r="AE147" i="105"/>
  <c r="AA147" i="105"/>
  <c r="Z147" i="105"/>
  <c r="Y147"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AN142" i="105" s="1"/>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J142" i="105" s="1"/>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S39" i="112" l="1"/>
  <c r="R39" i="112"/>
  <c r="K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T51" i="112" l="1"/>
  <c r="W51" i="112"/>
  <c r="V51" i="112"/>
  <c r="M51" i="112"/>
  <c r="U51" i="112"/>
  <c r="S51" i="112"/>
  <c r="R51" i="112"/>
  <c r="K51" i="112"/>
  <c r="Q51" i="112"/>
  <c r="X51" i="112"/>
  <c r="Y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H45" i="80" s="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K31" i="81" l="1"/>
  <c r="J59" i="82"/>
  <c r="H35" i="72" a="1"/>
  <c r="H39" i="72" s="1"/>
  <c r="M117" i="3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44" i="72" l="1"/>
  <c r="H37"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89"/>
  <c r="J41" i="55"/>
  <c r="A4" i="70"/>
  <c r="J42" i="55"/>
  <c r="N358" i="22" l="1"/>
  <c r="L412" i="22"/>
  <c r="L489" i="22" s="1"/>
  <c r="N54" i="41" s="1"/>
  <c r="N445" i="22"/>
  <c r="N514" i="22" s="1"/>
  <c r="U58" i="41" s="1"/>
  <c r="P386" i="22"/>
  <c r="P506" i="22" s="1"/>
  <c r="AC57" i="41" s="1"/>
  <c r="P416" i="22"/>
  <c r="P513" i="22" s="1"/>
  <c r="AD58" i="41" s="1"/>
  <c r="P445" i="22"/>
  <c r="P514" i="22" s="1"/>
  <c r="AE58" i="41" s="1"/>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1" i="22"/>
  <c r="R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U128" i="80" l="1"/>
  <c r="U82" i="80"/>
  <c r="W105" i="80"/>
  <c r="X166" i="72"/>
  <c r="X201" i="72" s="1"/>
  <c r="X231" i="72" s="1"/>
  <c r="X165" i="72"/>
  <c r="X200" i="72" s="1"/>
  <c r="X230" i="72" s="1"/>
  <c r="W82" i="80"/>
  <c r="S161" i="72"/>
  <c r="S196" i="72" s="1"/>
  <c r="S226" i="72" s="1"/>
  <c r="U162" i="72"/>
  <c r="U197" i="72" s="1"/>
  <c r="U227" i="72" s="1"/>
  <c r="W218" i="83"/>
  <c r="W90" i="71" s="1"/>
  <c r="W195" i="71" s="1"/>
  <c r="Y131" i="83"/>
  <c r="V85" i="80"/>
  <c r="W84" i="80"/>
  <c r="W130" i="80"/>
  <c r="V131"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X22" i="71"/>
  <c r="X127" i="71" s="1"/>
  <c r="Q21" i="31"/>
  <c r="Q23" i="31" s="1"/>
  <c r="R20" i="31"/>
  <c r="X188" i="71"/>
  <c r="W188" i="71"/>
  <c r="W157" i="71"/>
  <c r="U128" i="71"/>
  <c r="W142" i="80" l="1"/>
  <c r="W168" i="80" s="1"/>
  <c r="V144" i="80"/>
  <c r="V170" i="80" s="1"/>
  <c r="V145" i="80"/>
  <c r="V171" i="80" s="1"/>
  <c r="X142" i="80"/>
  <c r="X168" i="80" s="1"/>
  <c r="Y148" i="80"/>
  <c r="Y174" i="80" s="1"/>
  <c r="W144" i="80"/>
  <c r="W170"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32" i="80" s="1"/>
  <c r="H215" i="80"/>
  <c r="H227" i="80" s="1"/>
  <c r="H217" i="80"/>
  <c r="H229" i="80" s="1"/>
  <c r="H221" i="80"/>
  <c r="H233" i="80" s="1"/>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0" i="80"/>
  <c r="H228"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59" i="112" s="1"/>
  <c r="N51" i="112"/>
  <c r="N59" i="112" s="1"/>
  <c r="P51" i="112"/>
  <c r="P55" i="112" s="1"/>
  <c r="L51" i="112"/>
  <c r="L29" i="41" s="1"/>
  <c r="M48" i="41" s="1"/>
  <c r="M47" i="65" s="1"/>
  <c r="M49" i="82" s="1"/>
  <c r="J29" i="41"/>
  <c r="J48" i="41" s="1"/>
  <c r="J47" i="65" s="1"/>
  <c r="J49" i="82" s="1"/>
  <c r="J59" i="112"/>
  <c r="J55" i="112"/>
  <c r="N29" i="41"/>
  <c r="T48" i="41" s="1"/>
  <c r="T47" i="65" s="1"/>
  <c r="T49" i="82" s="1"/>
  <c r="N55" i="112"/>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O55" i="112" l="1"/>
  <c r="O65" i="112" s="1"/>
  <c r="O29" i="41"/>
  <c r="AA48" i="41" s="1"/>
  <c r="AA47" i="65" s="1"/>
  <c r="AA49" i="82" s="1"/>
  <c r="L59" i="112"/>
  <c r="L55" i="112"/>
  <c r="P59" i="112"/>
  <c r="P65" i="112" s="1"/>
  <c r="P29" i="41"/>
  <c r="AB48" i="41" s="1"/>
  <c r="AB47" i="65" s="1"/>
  <c r="AB49" i="82" s="1"/>
  <c r="J65" i="112"/>
  <c r="U48" i="41"/>
  <c r="U47" i="65" s="1"/>
  <c r="U49" i="82" s="1"/>
  <c r="V48" i="41"/>
  <c r="V47" i="65" s="1"/>
  <c r="V49" i="82" s="1"/>
  <c r="O48" i="41"/>
  <c r="O47" i="65" s="1"/>
  <c r="O49" i="82" s="1"/>
  <c r="Y48" i="41"/>
  <c r="Y47" i="65" s="1"/>
  <c r="Y49" i="82" s="1"/>
  <c r="R48" i="41"/>
  <c r="R47" i="65" s="1"/>
  <c r="R49" i="82" s="1"/>
  <c r="Z48" i="41"/>
  <c r="Z47" i="65" s="1"/>
  <c r="Z49" i="82" s="1"/>
  <c r="S48" i="41"/>
  <c r="S47" i="65" s="1"/>
  <c r="S49" i="82" s="1"/>
  <c r="P48" i="41"/>
  <c r="P47" i="65" s="1"/>
  <c r="P49" i="82" s="1"/>
  <c r="N48" i="41"/>
  <c r="N47" i="65" s="1"/>
  <c r="N49" i="82" s="1"/>
  <c r="L48" i="41"/>
  <c r="L47" i="65" s="1"/>
  <c r="L49" i="82" s="1"/>
  <c r="N65" i="112"/>
  <c r="N259" i="80"/>
  <c r="N256" i="80"/>
  <c r="N258" i="80"/>
  <c r="N255" i="80"/>
  <c r="N254" i="80"/>
  <c r="N253" i="80"/>
  <c r="N257" i="80"/>
  <c r="N252" i="80"/>
  <c r="N79" i="53"/>
  <c r="N85" i="53" s="1"/>
  <c r="N77" i="53"/>
  <c r="N83" i="53" s="1"/>
  <c r="N20" i="74"/>
  <c r="N204" i="80"/>
  <c r="N206" i="80" s="1"/>
  <c r="W48" i="41" l="1"/>
  <c r="W47" i="65" s="1"/>
  <c r="W49" i="82" s="1"/>
  <c r="X48" i="41"/>
  <c r="X47" i="65" s="1"/>
  <c r="X49" i="82" s="1"/>
  <c r="H57" i="112"/>
  <c r="H86" i="105" s="1"/>
  <c r="H129" i="105" s="1"/>
  <c r="L65" i="112"/>
  <c r="AC48" i="41"/>
  <c r="AC47" i="65" s="1"/>
  <c r="AC49" i="82" s="1"/>
  <c r="AF48" i="41"/>
  <c r="AF47" i="65" s="1"/>
  <c r="AF49" i="82" s="1"/>
  <c r="AE48" i="41"/>
  <c r="AE47" i="65" s="1"/>
  <c r="AE49" i="82" s="1"/>
  <c r="H61" i="112"/>
  <c r="H87" i="105" s="1"/>
  <c r="H130" i="105" s="1"/>
  <c r="AD48" i="41"/>
  <c r="AD47" i="65" s="1"/>
  <c r="AD49" i="82" s="1"/>
  <c r="N91" i="53"/>
  <c r="N93" i="53" s="1"/>
  <c r="N278" i="53" s="1"/>
  <c r="H67" i="112"/>
  <c r="H69" i="112" s="1"/>
  <c r="N72" i="74"/>
  <c r="N74" i="74"/>
  <c r="N77" i="74"/>
  <c r="N75" i="74"/>
  <c r="N78" i="74"/>
  <c r="N76" i="74"/>
  <c r="N73" i="74"/>
  <c r="H71" i="112" l="1"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6"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9"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100" i="81"/>
  <c r="P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49" i="55" s="1"/>
  <c r="H48" i="76" a="1"/>
  <c r="H48" i="76" s="1"/>
  <c r="A4" i="76" s="1"/>
  <c r="H21" i="82"/>
  <c r="H23" i="82"/>
  <c r="H20" i="82"/>
  <c r="H22" i="82"/>
  <c r="H19" i="82"/>
  <c r="H63" i="72" a="1"/>
  <c r="H65" i="73" a="1"/>
  <c r="H30" i="83" a="1"/>
  <c r="A4" i="81" l="1"/>
  <c r="J51"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2" i="55" s="1"/>
  <c r="S76" i="41"/>
  <c r="L161" i="74"/>
  <c r="L23" i="41" s="1"/>
  <c r="AE76" i="41"/>
  <c r="P76" i="41"/>
  <c r="J76" i="41"/>
  <c r="V76" i="41"/>
  <c r="R76" i="41"/>
  <c r="Y76" i="41"/>
  <c r="J114" i="65"/>
  <c r="J80" i="41"/>
  <c r="A4" i="83"/>
  <c r="J50"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AB120" i="105" l="1"/>
  <c r="AB198" i="105"/>
  <c r="L110" i="105"/>
  <c r="L187" i="105"/>
  <c r="L111" i="105"/>
  <c r="L188" i="105"/>
  <c r="L121" i="105"/>
  <c r="L199" i="105"/>
  <c r="L120" i="105"/>
  <c r="L198" i="105"/>
  <c r="R111" i="105"/>
  <c r="R188" i="105"/>
  <c r="R120" i="105"/>
  <c r="R198" i="105"/>
  <c r="AB121" i="105"/>
  <c r="AB199" i="105"/>
  <c r="R121" i="105"/>
  <c r="R199" i="105"/>
  <c r="W121" i="105"/>
  <c r="W199" i="105"/>
  <c r="R110" i="105"/>
  <c r="R187" i="105"/>
  <c r="W120" i="105"/>
  <c r="W19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3"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4"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W119" i="105" l="1"/>
  <c r="W197" i="105"/>
  <c r="L109" i="105"/>
  <c r="L186" i="105"/>
  <c r="L119" i="105"/>
  <c r="L197" i="105"/>
  <c r="R109" i="105"/>
  <c r="R186" i="105"/>
  <c r="AB119" i="105"/>
  <c r="AB197" i="105"/>
  <c r="R119" i="105"/>
  <c r="R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5"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AH108" i="105" l="1"/>
  <c r="W118" i="105"/>
  <c r="W196" i="105"/>
  <c r="L118" i="105"/>
  <c r="L196" i="105"/>
  <c r="R118" i="105"/>
  <c r="R196" i="105"/>
  <c r="AB118" i="105"/>
  <c r="AB196" i="105"/>
  <c r="R108" i="105"/>
  <c r="R185" i="105"/>
  <c r="L108" i="105"/>
  <c r="L185"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16" i="105" l="1"/>
  <c r="L194" i="105"/>
  <c r="W116" i="105"/>
  <c r="W194" i="105"/>
  <c r="AB116" i="105"/>
  <c r="AB194" i="105"/>
  <c r="L106" i="105"/>
  <c r="L183"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AB115" i="105" l="1"/>
  <c r="AB193" i="105"/>
  <c r="W115" i="105"/>
  <c r="W193" i="105"/>
  <c r="L115" i="105"/>
  <c r="L193" i="105"/>
  <c r="L105" i="105"/>
  <c r="L182" i="105"/>
  <c r="R115" i="105"/>
  <c r="R193"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N148" i="105" s="1"/>
  <c r="AJ115" i="105"/>
  <c r="R105" i="105"/>
  <c r="AJ105" i="105"/>
  <c r="AI115" i="105"/>
  <c r="AI122"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L107" i="105" l="1"/>
  <c r="L112" i="105" s="1"/>
  <c r="L184" i="105"/>
  <c r="L189" i="105" s="1"/>
  <c r="AB117" i="105"/>
  <c r="AB122" i="105" s="1"/>
  <c r="AB195" i="105"/>
  <c r="AB200" i="105" s="1"/>
  <c r="L140" i="105"/>
  <c r="L174" i="105"/>
  <c r="L71" i="82" s="1"/>
  <c r="L146" i="105"/>
  <c r="L69" i="82" s="1"/>
  <c r="W117" i="105"/>
  <c r="W122" i="105" s="1"/>
  <c r="W195" i="105"/>
  <c r="W200" i="105" s="1"/>
  <c r="L117" i="105"/>
  <c r="L122" i="105" s="1"/>
  <c r="L195" i="105"/>
  <c r="L200" i="105" s="1"/>
  <c r="R117" i="105"/>
  <c r="R195" i="105"/>
  <c r="U118" i="105"/>
  <c r="T250" i="41"/>
  <c r="T268" i="41" s="1"/>
  <c r="T273" i="41" s="1"/>
  <c r="T251" i="41"/>
  <c r="T269" i="41" s="1"/>
  <c r="T274" i="41" s="1"/>
  <c r="X250" i="41"/>
  <c r="X268" i="41" s="1"/>
  <c r="X273" i="41" s="1"/>
  <c r="N251" i="41"/>
  <c r="N269" i="41" s="1"/>
  <c r="N274" i="41" s="1"/>
  <c r="N279" i="41" s="1"/>
  <c r="N284" i="41" s="1"/>
  <c r="N252" i="41"/>
  <c r="N270" i="41" s="1"/>
  <c r="N275" i="41" s="1"/>
  <c r="N280" i="41" s="1"/>
  <c r="N285" i="41" s="1"/>
  <c r="N363" i="41" s="1"/>
  <c r="N365" i="41" s="1"/>
  <c r="N367" i="41" s="1"/>
  <c r="AC250" i="41"/>
  <c r="AC268" i="41" s="1"/>
  <c r="J251" i="41"/>
  <c r="J269" i="41" s="1"/>
  <c r="J274" i="41" s="1"/>
  <c r="J279" i="41" s="1"/>
  <c r="J284" i="41" s="1"/>
  <c r="J252" i="41"/>
  <c r="J270" i="41" s="1"/>
  <c r="U108" i="105"/>
  <c r="AC251" i="41"/>
  <c r="AC269" i="41" s="1"/>
  <c r="AC274" i="41" s="1"/>
  <c r="AC279" i="41" s="1"/>
  <c r="AC284"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73" i="41" s="1"/>
  <c r="AD278" i="41" s="1"/>
  <c r="AD283"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AD275" i="41"/>
  <c r="AD280" i="41" s="1"/>
  <c r="AD285" i="41" s="1"/>
  <c r="AD363" i="41" s="1"/>
  <c r="AD365" i="41" s="1"/>
  <c r="AD367" i="41" s="1"/>
  <c r="AC273" i="41"/>
  <c r="AC278" i="41" s="1"/>
  <c r="AC283" i="41" s="1"/>
  <c r="V274" i="41"/>
  <c r="AC275" i="41"/>
  <c r="AC280" i="41" s="1"/>
  <c r="AC285" i="41" s="1"/>
  <c r="AC363" i="41" s="1"/>
  <c r="AC365" i="41" s="1"/>
  <c r="AC367" i="41" s="1"/>
  <c r="Z273" i="41"/>
  <c r="S275" i="41"/>
  <c r="AE275" i="41"/>
  <c r="AE280" i="41" s="1"/>
  <c r="AE285" i="41" s="1"/>
  <c r="AE363" i="41" s="1"/>
  <c r="AE365" i="41" s="1"/>
  <c r="AE367" i="41" s="1"/>
  <c r="O275" i="41"/>
  <c r="O280" i="41" s="1"/>
  <c r="O285" i="41" s="1"/>
  <c r="O363" i="41" s="1"/>
  <c r="O365" i="41" s="1"/>
  <c r="O367" i="41" s="1"/>
  <c r="U275" i="41"/>
  <c r="N273" i="41"/>
  <c r="N278" i="41" s="1"/>
  <c r="N283" i="41" s="1"/>
  <c r="Y280" i="41"/>
  <c r="Y285" i="41" s="1"/>
  <c r="Y363" i="41" s="1"/>
  <c r="T280" i="41"/>
  <c r="T285" i="41" s="1"/>
  <c r="T363" i="41" s="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S279" i="41" l="1"/>
  <c r="S284" i="41" s="1"/>
  <c r="N331" i="41"/>
  <c r="N333" i="41" s="1"/>
  <c r="N335" i="41" s="1"/>
  <c r="M299" i="41"/>
  <c r="M301" i="41" s="1"/>
  <c r="M303" i="41" s="1"/>
  <c r="M305" i="41" s="1"/>
  <c r="M392" i="41" s="1"/>
  <c r="X278" i="41"/>
  <c r="X283" i="41" s="1"/>
  <c r="S278" i="41"/>
  <c r="S283" i="41" s="1"/>
  <c r="Z279" i="41"/>
  <c r="Z284" i="41" s="1"/>
  <c r="W148" i="105"/>
  <c r="W142" i="105"/>
  <c r="L148" i="105"/>
  <c r="L142" i="105"/>
  <c r="L68" i="82"/>
  <c r="L207" i="105"/>
  <c r="L80" i="82" s="1"/>
  <c r="L206" i="105"/>
  <c r="L79" i="82" s="1"/>
  <c r="AB140" i="105"/>
  <c r="AB146" i="105"/>
  <c r="AB69" i="82" s="1"/>
  <c r="AB174" i="105"/>
  <c r="AB71" i="82" s="1"/>
  <c r="W174" i="105"/>
  <c r="W71" i="82" s="1"/>
  <c r="W140" i="105"/>
  <c r="W146" i="105"/>
  <c r="W69" i="82" s="1"/>
  <c r="AB148" i="105"/>
  <c r="AB142" i="105"/>
  <c r="L147" i="105"/>
  <c r="L141" i="105"/>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M308"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U258" i="41" a="1"/>
  <c r="U258" i="41" s="1"/>
  <c r="U263" i="41" s="1"/>
  <c r="AI258" i="41" a="1"/>
  <c r="AI258" i="41" s="1"/>
  <c r="AI263" i="41" s="1"/>
  <c r="AI399"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T299"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M310" i="41" l="1"/>
  <c r="AH399" i="41"/>
  <c r="N337" i="41"/>
  <c r="N342" i="41" s="1"/>
  <c r="R399" i="41"/>
  <c r="R423" i="41" s="1"/>
  <c r="R427" i="41" s="1"/>
  <c r="S322" i="41"/>
  <c r="S324" i="41" s="1"/>
  <c r="U322" i="41"/>
  <c r="U324" i="41" s="1"/>
  <c r="Y299" i="41"/>
  <c r="T301" i="41" s="1"/>
  <c r="T303" i="41" s="1"/>
  <c r="T305" i="41" s="1"/>
  <c r="AI354" i="41"/>
  <c r="AI356" i="41" s="1"/>
  <c r="L399" i="41"/>
  <c r="L423" i="41" s="1"/>
  <c r="L427" i="41" s="1"/>
  <c r="AJ354" i="41"/>
  <c r="AJ356" i="41" s="1"/>
  <c r="V331" i="41"/>
  <c r="W207" i="105"/>
  <c r="W80" i="82" s="1"/>
  <c r="W206" i="105"/>
  <c r="W68" i="82"/>
  <c r="AB206" i="105"/>
  <c r="AB68" i="82"/>
  <c r="AB207" i="105"/>
  <c r="AB80" i="82" s="1"/>
  <c r="AA322" i="41"/>
  <c r="AA324" i="41" s="1"/>
  <c r="AD354" i="41"/>
  <c r="AD356" i="41" s="1"/>
  <c r="AD358" i="41" s="1"/>
  <c r="AD360" i="41" s="1"/>
  <c r="AD369" i="41" s="1"/>
  <c r="AD394" i="41" s="1"/>
  <c r="Q322" i="41"/>
  <c r="Q324" i="41" s="1"/>
  <c r="O337" i="41"/>
  <c r="O342"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I423" i="41"/>
  <c r="AI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AE358" i="41" s="1"/>
  <c r="AE360" i="41" s="1"/>
  <c r="AE369" i="41" s="1"/>
  <c r="AE394" i="41" s="1"/>
  <c r="X354" i="41"/>
  <c r="X356" i="41" s="1"/>
  <c r="Z322" i="41"/>
  <c r="Z324" i="41" s="1"/>
  <c r="AE322" i="41"/>
  <c r="AE324" i="41" s="1"/>
  <c r="AE326" i="41" s="1"/>
  <c r="AE328" i="41" s="1"/>
  <c r="AE337" i="41" s="1"/>
  <c r="AE393" i="41" s="1"/>
  <c r="M309" i="41"/>
  <c r="Q423" i="41"/>
  <c r="Q427" i="41" s="1"/>
  <c r="AO322" i="41"/>
  <c r="AO324" i="41" s="1"/>
  <c r="X322" i="41"/>
  <c r="X324" i="41" s="1"/>
  <c r="AO399" i="41"/>
  <c r="AO423" i="41" s="1"/>
  <c r="AO427" i="41" s="1"/>
  <c r="AI322" i="41"/>
  <c r="AI324" i="41" s="1"/>
  <c r="W399" i="41"/>
  <c r="W423" i="41" s="1"/>
  <c r="W427" i="41" s="1"/>
  <c r="AK354" i="41"/>
  <c r="AK356" i="41" s="1"/>
  <c r="V322" i="41"/>
  <c r="V324" i="41" s="1"/>
  <c r="AG309" i="41"/>
  <c r="AF342" i="41"/>
  <c r="AA331" i="41"/>
  <c r="W354" i="41"/>
  <c r="W356" i="41" s="1"/>
  <c r="AM423" i="41"/>
  <c r="AM427" i="41" s="1"/>
  <c r="AH423" i="41"/>
  <c r="AH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N341" i="4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M312" i="41" l="1"/>
  <c r="M385" i="41" s="1"/>
  <c r="N393" i="41"/>
  <c r="S326" i="41"/>
  <c r="S328" i="41" s="1"/>
  <c r="J369" i="41"/>
  <c r="J394" i="41" s="1"/>
  <c r="Y301" i="41"/>
  <c r="Y303" i="41" s="1"/>
  <c r="U326" i="41"/>
  <c r="U328" i="41" s="1"/>
  <c r="Y305" i="41"/>
  <c r="Y392" i="41" s="1"/>
  <c r="Z326" i="41"/>
  <c r="Z328" i="41" s="1"/>
  <c r="V326" i="41"/>
  <c r="V328" i="41" s="1"/>
  <c r="V333" i="41"/>
  <c r="V335" i="41" s="1"/>
  <c r="V337" i="41" s="1"/>
  <c r="W326" i="41"/>
  <c r="W328" i="41" s="1"/>
  <c r="O393" i="41"/>
  <c r="O341" i="41"/>
  <c r="O344" i="41" s="1"/>
  <c r="O386" i="41" s="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N344" i="41"/>
  <c r="N386" i="41" s="1"/>
  <c r="S369" i="41"/>
  <c r="S394" i="41" s="1"/>
  <c r="T392" i="41"/>
  <c r="T308" i="41"/>
  <c r="T310" i="41"/>
  <c r="T309"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3" i="41"/>
  <c r="J342" i="41"/>
  <c r="J341" i="41"/>
  <c r="AC393" i="41"/>
  <c r="AC341" i="41"/>
  <c r="AC342" i="41"/>
  <c r="O312" i="41"/>
  <c r="O385" i="41" s="1"/>
  <c r="AD392" i="41"/>
  <c r="AD309" i="41"/>
  <c r="AD308" i="41"/>
  <c r="AD310" i="41"/>
  <c r="X333" i="41"/>
  <c r="X335" i="41" s="1"/>
  <c r="X337" i="41" s="1"/>
  <c r="S333" i="41"/>
  <c r="S335" i="41" s="1"/>
  <c r="S337" i="41" s="1"/>
  <c r="U333" i="41"/>
  <c r="U335" i="41" s="1"/>
  <c r="U337" i="41" s="1"/>
  <c r="Z333" i="41"/>
  <c r="Z335" i="41" s="1"/>
  <c r="Z337" i="41" s="1"/>
  <c r="AA182" i="105"/>
  <c r="AA189" i="105" s="1"/>
  <c r="AA105" i="105"/>
  <c r="AA112" i="105" s="1"/>
  <c r="K106" i="105"/>
  <c r="K105" i="105"/>
  <c r="K116" i="105"/>
  <c r="K194" i="105"/>
  <c r="K115" i="105"/>
  <c r="K34" i="65"/>
  <c r="K112" i="65" s="1"/>
  <c r="K40" i="82" s="1"/>
  <c r="AJ33" i="65"/>
  <c r="AJ111" i="65" s="1"/>
  <c r="AJ39" i="82" s="1"/>
  <c r="R33" i="65"/>
  <c r="R111" i="65" s="1"/>
  <c r="R39" i="82" s="1"/>
  <c r="J374" i="41" l="1"/>
  <c r="J376" i="41" s="1"/>
  <c r="J387" i="41" s="1"/>
  <c r="Y310" i="41"/>
  <c r="Y308" i="41"/>
  <c r="Y309" i="4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N389" i="41"/>
  <c r="N396" i="41" s="1"/>
  <c r="N401" i="41" s="1"/>
  <c r="N404" i="41" s="1"/>
  <c r="N413" i="41" s="1"/>
  <c r="U374" i="41"/>
  <c r="U376" i="41" s="1"/>
  <c r="U387" i="41" s="1"/>
  <c r="AC344" i="41"/>
  <c r="AC386" i="41" s="1"/>
  <c r="AC389" i="41" s="1"/>
  <c r="AC396" i="41" s="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X393" i="41"/>
  <c r="X342" i="41"/>
  <c r="X341" i="41"/>
  <c r="O389" i="41"/>
  <c r="O396" i="41" s="1"/>
  <c r="J344" i="41"/>
  <c r="J386" i="41" s="1"/>
  <c r="Z393" i="41"/>
  <c r="Z341" i="41"/>
  <c r="Z342" i="41"/>
  <c r="AA394" i="41"/>
  <c r="AA374" i="41"/>
  <c r="AA376" i="41" s="1"/>
  <c r="AA387" i="41" s="1"/>
  <c r="J392" i="41"/>
  <c r="J308" i="41"/>
  <c r="J309" i="41"/>
  <c r="J310" i="41"/>
  <c r="Z392" i="41"/>
  <c r="Z310" i="41"/>
  <c r="Z309" i="41"/>
  <c r="Z308" i="41"/>
  <c r="T312" i="41"/>
  <c r="T385" i="41" s="1"/>
  <c r="S393" i="41"/>
  <c r="S342" i="41"/>
  <c r="S341" i="41"/>
  <c r="U393" i="41"/>
  <c r="U342" i="41"/>
  <c r="U341" i="41"/>
  <c r="AD312" i="41"/>
  <c r="AD385" i="41" s="1"/>
  <c r="V393" i="41"/>
  <c r="V342" i="41"/>
  <c r="V341"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Y312" i="41" l="1"/>
  <c r="Y385" i="41" s="1"/>
  <c r="R116" i="105"/>
  <c r="R122" i="105" s="1"/>
  <c r="R194" i="105"/>
  <c r="R200" i="105" s="1"/>
  <c r="R106" i="105"/>
  <c r="R112" i="105" s="1"/>
  <c r="R183" i="105"/>
  <c r="R189" i="105" s="1"/>
  <c r="R174" i="105"/>
  <c r="R71" i="82" s="1"/>
  <c r="R140" i="105"/>
  <c r="R146" i="105"/>
  <c r="R69" i="82" s="1"/>
  <c r="AG400" i="41"/>
  <c r="M401" i="41"/>
  <c r="M404" i="41" s="1"/>
  <c r="M413" i="41" s="1"/>
  <c r="AG401" i="41"/>
  <c r="M399" i="41"/>
  <c r="AF399" i="41"/>
  <c r="AE401" i="41"/>
  <c r="AE404" i="41" s="1"/>
  <c r="AE413" i="41" s="1"/>
  <c r="AF400" i="41"/>
  <c r="AF405" i="41" s="1"/>
  <c r="AF414" i="41" s="1"/>
  <c r="AE399" i="41"/>
  <c r="T344" i="41"/>
  <c r="T386" i="41" s="1"/>
  <c r="T389" i="41" s="1"/>
  <c r="T396" i="41" s="1"/>
  <c r="Y344" i="41"/>
  <c r="Y386" i="41" s="1"/>
  <c r="AA342" i="41"/>
  <c r="AA341" i="41"/>
  <c r="P400" i="41"/>
  <c r="P405" i="41" s="1"/>
  <c r="P414" i="41" s="1"/>
  <c r="P401" i="41"/>
  <c r="P404" i="41" s="1"/>
  <c r="P413" i="41" s="1"/>
  <c r="N399" i="41"/>
  <c r="N406" i="41" s="1"/>
  <c r="N415" i="41" s="1"/>
  <c r="N400" i="41"/>
  <c r="N405" i="41" s="1"/>
  <c r="N414" i="41" s="1"/>
  <c r="V344" i="41"/>
  <c r="V386" i="41" s="1"/>
  <c r="Z344" i="41"/>
  <c r="Z386" i="41" s="1"/>
  <c r="S344" i="41"/>
  <c r="S386" i="41" s="1"/>
  <c r="Z312" i="41"/>
  <c r="Z385" i="41" s="1"/>
  <c r="P406" i="41"/>
  <c r="P415" i="41" s="1"/>
  <c r="X312" i="41"/>
  <c r="X385" i="41" s="1"/>
  <c r="AA312" i="41"/>
  <c r="AA385" i="41" s="1"/>
  <c r="H429" i="41"/>
  <c r="AD389" i="41"/>
  <c r="AD396" i="41" s="1"/>
  <c r="AD400" i="41" s="1"/>
  <c r="AD405" i="41" s="1"/>
  <c r="AD414" i="41" s="1"/>
  <c r="AE406" i="41"/>
  <c r="AE415" i="41" s="1"/>
  <c r="X344" i="41"/>
  <c r="X386"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48" i="105" s="1"/>
  <c r="AJ106" i="105"/>
  <c r="AJ112" i="105" s="1"/>
  <c r="AJ96" i="105"/>
  <c r="AJ102" i="105" s="1"/>
  <c r="AJ174" i="105" s="1"/>
  <c r="AG33" i="65"/>
  <c r="AG111" i="65" s="1"/>
  <c r="AG39" i="82" s="1"/>
  <c r="Y389" i="41" l="1"/>
  <c r="Y396" i="41" s="1"/>
  <c r="Y399" i="41" s="1"/>
  <c r="AE423" i="41"/>
  <c r="AE427" i="41" s="1"/>
  <c r="M423" i="41"/>
  <c r="M427" i="41" s="1"/>
  <c r="M406" i="41"/>
  <c r="M415" i="41" s="1"/>
  <c r="M34" i="65" s="1"/>
  <c r="M112" i="65" s="1"/>
  <c r="M132" i="65" s="1"/>
  <c r="M161" i="65" s="1"/>
  <c r="M66" i="105" s="1"/>
  <c r="M184" i="105" s="1"/>
  <c r="AF423" i="41"/>
  <c r="AF427" i="41" s="1"/>
  <c r="AF406" i="41"/>
  <c r="AF415" i="41" s="1"/>
  <c r="R206" i="105"/>
  <c r="R79" i="82" s="1"/>
  <c r="R68" i="82"/>
  <c r="R207" i="105"/>
  <c r="R80" i="82" s="1"/>
  <c r="R147" i="105"/>
  <c r="R141" i="105"/>
  <c r="R148" i="105"/>
  <c r="R142" i="105"/>
  <c r="AG423" i="41"/>
  <c r="AG427" i="41" s="1"/>
  <c r="AA344" i="41"/>
  <c r="AA386" i="41" s="1"/>
  <c r="AA389" i="41" s="1"/>
  <c r="AA396" i="41" s="1"/>
  <c r="AA401" i="41" s="1"/>
  <c r="AA404" i="41" s="1"/>
  <c r="AA413" i="41" s="1"/>
  <c r="S389" i="41"/>
  <c r="S396" i="41" s="1"/>
  <c r="S401" i="41" s="1"/>
  <c r="S404" i="41" s="1"/>
  <c r="S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T401" i="41"/>
  <c r="T404" i="41" s="1"/>
  <c r="T413" i="41" s="1"/>
  <c r="T400" i="41"/>
  <c r="T405" i="41" s="1"/>
  <c r="T414" i="41" s="1"/>
  <c r="T399" i="41"/>
  <c r="J400" i="41"/>
  <c r="J405" i="41" s="1"/>
  <c r="J414" i="41" s="1"/>
  <c r="J401" i="41"/>
  <c r="J404" i="41" s="1"/>
  <c r="J413" i="41" s="1"/>
  <c r="J399" i="41"/>
  <c r="N32" i="65"/>
  <c r="N110" i="65" s="1"/>
  <c r="N38" i="82" s="1"/>
  <c r="P34" i="65"/>
  <c r="P112" i="65" s="1"/>
  <c r="P32" i="65"/>
  <c r="P110" i="65" s="1"/>
  <c r="P33" i="65"/>
  <c r="P111" i="65" s="1"/>
  <c r="M33" i="65"/>
  <c r="M111" i="65" s="1"/>
  <c r="M39" i="82"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Y401" i="41" l="1"/>
  <c r="Y404" i="41" s="1"/>
  <c r="Y413" i="41" s="1"/>
  <c r="Y400" i="41"/>
  <c r="Y405" i="41" s="1"/>
  <c r="Y414" i="41" s="1"/>
  <c r="S400" i="41"/>
  <c r="S405" i="41" s="1"/>
  <c r="S414" i="41" s="1"/>
  <c r="S399" i="41"/>
  <c r="S406" i="41" s="1"/>
  <c r="S415" i="41" s="1"/>
  <c r="AA399" i="41"/>
  <c r="AA400" i="41"/>
  <c r="AA405" i="41" s="1"/>
  <c r="AA414" i="41" s="1"/>
  <c r="AA33" i="65" s="1"/>
  <c r="AA111" i="65" s="1"/>
  <c r="AA39" i="82" s="1"/>
  <c r="V401" i="41"/>
  <c r="V404" i="41" s="1"/>
  <c r="V413" i="41" s="1"/>
  <c r="V32" i="65" s="1"/>
  <c r="V110" i="65" s="1"/>
  <c r="V38" i="82" s="1"/>
  <c r="V399" i="41"/>
  <c r="V406" i="41" s="1"/>
  <c r="V415" i="41" s="1"/>
  <c r="V34" i="65" s="1"/>
  <c r="V112" i="65" s="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U406" i="41"/>
  <c r="U415" i="41" s="1"/>
  <c r="U34" i="65" s="1"/>
  <c r="U112" i="65" s="1"/>
  <c r="U141" i="65" s="1"/>
  <c r="U170" i="65" s="1"/>
  <c r="U75" i="105" s="1"/>
  <c r="U195" i="105" s="1"/>
  <c r="AD406" i="41"/>
  <c r="AD415" i="41" s="1"/>
  <c r="AD423" i="41"/>
  <c r="AD427" i="41" s="1"/>
  <c r="AA406" i="41"/>
  <c r="AA415" i="41" s="1"/>
  <c r="AA34" i="65" s="1"/>
  <c r="AA112" i="65"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3" i="65"/>
  <c r="Y111" i="65" s="1"/>
  <c r="Y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Y423" i="41" l="1"/>
  <c r="Y427" i="41" s="1"/>
  <c r="AA423" i="41"/>
  <c r="AA427" i="41" s="1"/>
  <c r="S423" i="41"/>
  <c r="S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U102"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6" i="105" s="1"/>
  <c r="T69"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H106" i="105" s="1"/>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H178" i="65" a="1"/>
  <c r="H178" i="65" s="1"/>
  <c r="A4" i="65" s="1"/>
  <c r="J112" i="105"/>
  <c r="Y55" i="105"/>
  <c r="Y95" i="105" s="1"/>
  <c r="Y73" i="105"/>
  <c r="Y193" i="105" s="1"/>
  <c r="Y200" i="105" s="1"/>
  <c r="T174" i="105" l="1"/>
  <c r="T71" i="82" s="1"/>
  <c r="T140" i="105"/>
  <c r="T68" i="82" s="1"/>
  <c r="J174" i="105"/>
  <c r="J71" i="82" s="1"/>
  <c r="J146" i="105"/>
  <c r="J69" i="82" s="1"/>
  <c r="J141" i="105"/>
  <c r="J147" i="105"/>
  <c r="T122" i="105"/>
  <c r="T148" i="105" s="1"/>
  <c r="AC174" i="105"/>
  <c r="AC71" i="82" s="1"/>
  <c r="AC146" i="105"/>
  <c r="AC69" i="82" s="1"/>
  <c r="U112" i="105"/>
  <c r="U141" i="105" s="1"/>
  <c r="AC122" i="105"/>
  <c r="AC142" i="105" s="1"/>
  <c r="A4" i="41"/>
  <c r="J57"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T142" i="105"/>
  <c r="N147" i="105"/>
  <c r="N141" i="105"/>
  <c r="V142" i="105"/>
  <c r="V148" i="105"/>
  <c r="J140" i="105"/>
  <c r="O147" i="105"/>
  <c r="O141" i="105"/>
  <c r="AF142" i="105"/>
  <c r="AF148" i="105"/>
  <c r="H107" i="105"/>
  <c r="Y115" i="105"/>
  <c r="H115" i="105" s="1"/>
  <c r="Y102" i="105"/>
  <c r="Y174" i="105" s="1"/>
  <c r="H95" i="105"/>
  <c r="H102" i="105" s="1"/>
  <c r="J58" i="55"/>
  <c r="T206" i="105" l="1"/>
  <c r="T79" i="82" s="1"/>
  <c r="T207" i="105"/>
  <c r="T80" i="82" s="1"/>
  <c r="U147" i="105"/>
  <c r="J142" i="105"/>
  <c r="J148" i="10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0" i="55"/>
  <c r="H84" i="82" a="1"/>
  <c r="H84" i="82" s="1"/>
  <c r="J61" i="55" s="1"/>
  <c r="J59" i="55" l="1"/>
  <c r="J62" i="55" s="1"/>
  <c r="A4" i="55" s="1"/>
  <c r="A4" i="82"/>
</calcChain>
</file>

<file path=xl/sharedStrings.xml><?xml version="1.0" encoding="utf-8"?>
<sst xmlns="http://schemas.openxmlformats.org/spreadsheetml/2006/main" count="7958" uniqueCount="1171">
  <si>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</si>
  <si>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</si>
  <si>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</si>
  <si>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</si>
  <si>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</si>
  <si>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</si>
  <si>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</si>
  <si>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</si>
  <si>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</si>
  <si>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</si>
  <si>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</si>
  <si>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</si>
  <si>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</si>
  <si>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</si>
  <si>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</si>
  <si>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</si>
  <si>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</si>
  <si>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</si>
  <si>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</si>
  <si>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</si>
  <si>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</si>
  <si>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</si>
  <si>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</si>
  <si>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</si>
  <si>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</si>
  <si>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</si>
  <si>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</si>
  <si>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</si>
  <si>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</si>
  <si>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</si>
  <si>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</si>
  <si>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</si>
  <si>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</si>
  <si>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</si>
  <si>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</si>
  <si>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</si>
  <si>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</si>
  <si>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</si>
  <si>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</si>
  <si>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</si>
  <si>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</si>
  <si>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</si>
  <si>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</si>
  <si>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</si>
  <si>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</si>
  <si>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</si>
  <si>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</si>
  <si>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</si>
  <si>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</si>
  <si>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</si>
  <si>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</si>
  <si>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</si>
  <si>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</si>
  <si>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</si>
  <si>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</si>
  <si>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</si>
  <si>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</si>
  <si>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</si>
  <si>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</si>
  <si>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</si>
  <si>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</si>
  <si>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</si>
  <si>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</si>
  <si>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</si>
  <si>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</si>
  <si>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</si>
  <si>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</si>
  <si>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</si>
  <si>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</si>
  <si>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</si>
  <si>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</si>
  <si>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</si>
  <si>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</si>
  <si>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</si>
  <si>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</si>
  <si>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</si>
  <si>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</si>
  <si>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</si>
  <si>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</si>
  <si>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</si>
  <si>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</si>
  <si>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</si>
  <si>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</si>
  <si>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</si>
  <si>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</si>
  <si>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</si>
  <si>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</si>
  <si>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</si>
  <si>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</si>
  <si>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</si>
  <si>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</si>
  <si>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</si>
  <si>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</si>
  <si>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</si>
  <si>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</si>
  <si>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</si>
  <si>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</si>
  <si>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</si>
  <si>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</si>
  <si>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</si>
  <si>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</si>
  <si>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</si>
  <si>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</si>
  <si>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</si>
  <si>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</si>
  <si>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</si>
  <si>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</si>
  <si>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</si>
  <si>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</si>
  <si>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</si>
  <si>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</si>
  <si>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</si>
  <si>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</si>
  <si>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</si>
  <si>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</si>
  <si>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</si>
  <si>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</si>
  <si>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</si>
  <si>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</si>
  <si>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</si>
  <si>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</si>
  <si>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</si>
  <si>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</si>
  <si>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</si>
  <si>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</si>
  <si>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</si>
  <si>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</si>
  <si>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</si>
  <si>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</si>
  <si>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</si>
  <si>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</si>
  <si>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</si>
  <si>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</si>
  <si>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</si>
  <si>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</si>
  <si>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</si>
  <si>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</si>
  <si>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</si>
  <si>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</si>
  <si>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</si>
  <si>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</si>
  <si>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</si>
  <si>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</si>
  <si>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</si>
  <si>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</si>
  <si>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</si>
  <si>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</si>
  <si>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</si>
  <si>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</si>
  <si>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</si>
  <si>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</si>
  <si>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</si>
  <si>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</si>
  <si>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</si>
  <si>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</si>
  <si>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</si>
  <si>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</si>
  <si>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</si>
  <si>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</si>
  <si>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</si>
  <si>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</si>
  <si>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</si>
  <si>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</si>
  <si>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</si>
  <si>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</si>
  <si>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</si>
  <si>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</si>
  <si>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</si>
  <si>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</si>
  <si>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</si>
  <si>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</si>
  <si>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</si>
  <si>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</si>
  <si>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</si>
  <si>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</si>
  <si>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</si>
  <si>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</si>
  <si>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</si>
  <si>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</si>
  <si>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</si>
  <si>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</si>
  <si>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</si>
  <si>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</si>
  <si>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</si>
  <si>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</si>
  <si>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</si>
  <si>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</si>
  <si>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</si>
  <si>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</si>
  <si>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</si>
  <si>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</si>
  <si>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</si>
  <si>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</si>
  <si>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</si>
  <si>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</si>
  <si>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</si>
  <si>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</si>
  <si>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</si>
  <si>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</si>
  <si>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</si>
  <si>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</si>
  <si>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</si>
  <si>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</si>
  <si>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</si>
  <si>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</si>
  <si>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</si>
  <si>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</si>
  <si>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</si>
  <si>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</si>
  <si>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</si>
  <si>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</si>
  <si>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</si>
  <si>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</si>
  <si>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</si>
  <si>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</si>
  <si>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</si>
  <si>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</si>
  <si>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</si>
  <si>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</si>
  <si>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</si>
  <si>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</si>
  <si>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</si>
  <si>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</si>
  <si>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</si>
  <si>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</si>
  <si>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</si>
  <si>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</si>
  <si>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</si>
  <si>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</si>
  <si>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</si>
  <si>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</si>
  <si>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</si>
  <si>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</si>
  <si>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</si>
  <si>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</si>
  <si>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</si>
  <si>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</si>
  <si>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</si>
  <si>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</si>
  <si>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</si>
  <si>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</si>
  <si>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</si>
  <si>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</si>
  <si>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</si>
  <si>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</si>
  <si>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</si>
  <si>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</si>
  <si>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</si>
  <si>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</si>
  <si>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</si>
  <si>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</si>
  <si>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</si>
  <si>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</si>
  <si>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</si>
  <si>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</si>
  <si>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</si>
  <si>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</si>
  <si>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</si>
  <si>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</si>
  <si>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</si>
  <si>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</si>
  <si>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</si>
  <si>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</si>
  <si>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</si>
  <si>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</si>
  <si>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</si>
  <si>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</si>
  <si>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</si>
  <si>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</si>
  <si>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</si>
  <si>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</si>
  <si>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</si>
  <si>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</si>
  <si>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</si>
  <si>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</si>
  <si>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</si>
  <si>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</si>
  <si>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</si>
  <si>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</si>
  <si>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</si>
  <si>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</si>
  <si>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</si>
  <si>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</si>
  <si>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</si>
  <si>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</si>
  <si>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</si>
  <si>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</si>
  <si>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</si>
  <si>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</si>
  <si>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</si>
  <si>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</si>
  <si>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</si>
  <si>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</si>
  <si>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</si>
  <si>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</si>
  <si>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</si>
  <si>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</si>
  <si>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</si>
  <si>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</si>
  <si>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</si>
  <si>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</si>
  <si>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</si>
  <si>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</si>
  <si>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</si>
  <si>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</si>
  <si>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</si>
  <si>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</si>
  <si>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</si>
  <si>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</si>
  <si>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</si>
  <si>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</si>
  <si>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</si>
  <si>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</si>
  <si>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</si>
  <si>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</si>
  <si>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</si>
  <si>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</si>
  <si>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</si>
  <si>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</si>
  <si>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</si>
  <si>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</si>
  <si>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</si>
  <si>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</si>
  <si>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</si>
  <si>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</si>
  <si>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</si>
  <si>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</si>
  <si>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</si>
  <si>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</si>
  <si>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</si>
  <si>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</si>
  <si>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</si>
  <si>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</si>
  <si>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</si>
  <si>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</si>
  <si>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</si>
  <si>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</si>
  <si>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</si>
  <si>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</si>
  <si>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</si>
  <si>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</si>
  <si>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</si>
  <si>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</si>
  <si>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</si>
  <si>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</si>
  <si>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</si>
  <si>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</si>
  <si>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</si>
  <si>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</si>
  <si>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</si>
  <si>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</si>
  <si>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</si>
  <si>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</si>
  <si>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</si>
  <si>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</si>
  <si>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</si>
  <si>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</si>
  <si>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</si>
  <si>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</si>
  <si>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</si>
  <si>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</si>
  <si>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</si>
  <si>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</si>
  <si>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</si>
  <si>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</si>
  <si>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</si>
  <si>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</si>
  <si>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</si>
  <si>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</si>
  <si>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</si>
  <si>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</si>
  <si>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</si>
  <si>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</si>
  <si>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</si>
  <si>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</si>
  <si>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</si>
  <si>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</si>
  <si>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</si>
  <si>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</si>
  <si>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</si>
  <si>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</si>
  <si>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</si>
  <si>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</si>
  <si>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</si>
  <si>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</si>
  <si>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</si>
  <si>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</si>
  <si>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</si>
  <si>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</si>
  <si>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</si>
  <si>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</si>
  <si>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</si>
  <si>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</si>
  <si>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</si>
  <si>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</si>
  <si>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</si>
  <si>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</si>
  <si>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</si>
  <si>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</si>
  <si>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</si>
  <si>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</si>
  <si>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</si>
  <si>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</si>
  <si>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</si>
  <si>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</si>
  <si>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</si>
  <si>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</si>
  <si>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</si>
  <si>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</si>
  <si>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</si>
  <si>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</si>
  <si>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</si>
  <si>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</si>
  <si>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</si>
  <si>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</si>
  <si>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</si>
  <si>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</si>
  <si>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</si>
  <si>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</si>
  <si>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</si>
  <si>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</si>
  <si>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</si>
  <si>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</si>
  <si>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</si>
  <si>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</si>
  <si>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</si>
  <si>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</si>
  <si>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</si>
  <si>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</si>
  <si>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</si>
  <si>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</si>
  <si>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</si>
  <si>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</si>
  <si>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</si>
  <si>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</si>
  <si>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</si>
  <si>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</si>
  <si>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</si>
  <si>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</si>
  <si>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</si>
  <si>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</si>
  <si>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</si>
  <si>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</si>
  <si>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</si>
  <si>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</si>
  <si>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</si>
  <si>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</si>
  <si>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</si>
  <si>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</si>
  <si>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</si>
  <si>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</si>
  <si>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</si>
  <si>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</si>
  <si>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</si>
  <si>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</si>
  <si>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</si>
  <si>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</si>
  <si>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</si>
  <si>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</si>
  <si>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</si>
  <si>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</si>
  <si>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</si>
  <si>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</si>
  <si>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</si>
  <si>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</si>
  <si>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</si>
  <si>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</si>
  <si>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</si>
  <si>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</si>
  <si>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</si>
  <si>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</si>
  <si>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</si>
  <si>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</si>
  <si>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</si>
  <si>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</si>
  <si>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</si>
  <si>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</si>
  <si>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</si>
  <si>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</si>
  <si>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</si>
  <si>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</si>
  <si>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</si>
  <si>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</si>
  <si>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</si>
  <si>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</si>
  <si>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</si>
  <si>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</si>
  <si>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</si>
  <si>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</si>
  <si>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</si>
  <si>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</si>
  <si>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</si>
  <si>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</si>
  <si>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</si>
  <si>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</si>
  <si>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</si>
  <si>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</si>
  <si>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</si>
  <si>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</si>
  <si>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</si>
  <si>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</si>
  <si>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</si>
  <si>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</si>
  <si>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</si>
  <si>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</si>
  <si>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</si>
  <si>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</si>
  <si>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</si>
  <si>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</si>
  <si>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</si>
  <si>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</si>
  <si>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</si>
  <si>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</si>
  <si>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</si>
  <si>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</si>
  <si>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</si>
  <si>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</si>
  <si>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</si>
  <si>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</si>
  <si>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</si>
  <si>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</si>
  <si>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</si>
  <si>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</si>
  <si>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</si>
  <si>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</si>
  <si>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</si>
  <si>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</si>
  <si>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</si>
  <si>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</si>
  <si>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</si>
  <si>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</si>
  <si>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</si>
  <si>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</si>
  <si>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</si>
  <si>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</si>
  <si>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</si>
  <si>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</si>
  <si>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</si>
  <si>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</si>
  <si>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</si>
  <si>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</si>
  <si>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</si>
  <si>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</si>
  <si>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</si>
  <si>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</si>
  <si>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</si>
  <si>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</si>
  <si>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</si>
  <si>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</si>
  <si>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</si>
  <si>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</si>
  <si>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</si>
  <si>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</si>
  <si>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</si>
  <si>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</si>
  <si>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</si>
  <si>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</si>
  <si>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</si>
  <si>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</si>
  <si>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</si>
  <si>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</si>
  <si>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</si>
  <si>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</si>
  <si>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</si>
  <si>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</si>
  <si>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</si>
  <si>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</si>
  <si>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</si>
  <si>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</si>
  <si>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</si>
  <si>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</si>
  <si>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</si>
  <si>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</si>
  <si>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</si>
  <si>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</si>
  <si>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</si>
  <si>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</si>
  <si>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</si>
  <si>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</si>
  <si>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</si>
  <si>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</si>
  <si>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</si>
  <si>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</si>
  <si>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</si>
  <si>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</si>
  <si>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</si>
  <si>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</si>
  <si>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</si>
  <si>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</si>
  <si>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</si>
  <si>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</si>
  <si>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</si>
  <si>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</si>
  <si>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</si>
  <si>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</si>
  <si>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</si>
  <si>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</si>
  <si>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</si>
  <si>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</si>
  <si>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</si>
  <si>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</si>
  <si>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</si>
  <si>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</si>
  <si>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</si>
  <si>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</si>
  <si>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</si>
  <si>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</si>
  <si>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</si>
  <si>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</si>
  <si>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</si>
  <si>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</si>
  <si>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</si>
  <si>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</si>
  <si>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</si>
  <si>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</si>
  <si>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</si>
  <si>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</si>
  <si>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</si>
  <si>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</si>
  <si>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</si>
  <si>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</si>
  <si>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</si>
  <si>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</si>
  <si>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</si>
  <si>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</si>
  <si>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</si>
  <si>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</si>
  <si>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</si>
  <si>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</si>
  <si>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</si>
  <si>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</si>
  <si>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</si>
  <si>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</si>
  <si>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</si>
  <si>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</si>
  <si>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</si>
  <si>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</si>
  <si>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</si>
  <si>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</si>
  <si>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</si>
  <si>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</si>
  <si>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</si>
  <si>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</si>
  <si>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</si>
  <si>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</si>
  <si>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</si>
  <si>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</si>
  <si>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</si>
  <si>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</si>
  <si>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</si>
  <si>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</si>
  <si>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</si>
  <si>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</si>
  <si>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</si>
  <si>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</si>
  <si>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</si>
  <si>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</si>
  <si>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</si>
  <si>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</si>
  <si>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</si>
  <si>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</si>
  <si>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</si>
  <si>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</si>
  <si>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</si>
  <si>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</si>
  <si>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</si>
  <si>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</si>
  <si>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</si>
  <si>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</si>
  <si>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</si>
  <si>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</si>
  <si>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</si>
  <si>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</si>
  <si>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</si>
  <si>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</si>
  <si>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</si>
  <si>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</si>
  <si>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</si>
  <si>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</si>
  <si>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</si>
  <si>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</si>
  <si>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</si>
  <si>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</si>
  <si>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</si>
  <si>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</si>
  <si>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</si>
  <si>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</si>
  <si>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</si>
  <si>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</si>
  <si>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</si>
  <si>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</si>
  <si>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</si>
  <si>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</si>
  <si>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</si>
  <si>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</si>
  <si>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</si>
  <si>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</si>
  <si>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</si>
  <si>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</si>
  <si>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</si>
  <si>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</si>
  <si>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</si>
  <si>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</si>
  <si>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</si>
  <si>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</si>
  <si>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</si>
  <si>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</si>
  <si>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</si>
  <si>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</si>
  <si>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</si>
  <si>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</si>
  <si>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</si>
  <si>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</si>
  <si>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</si>
  <si>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</si>
  <si>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</si>
  <si>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</si>
  <si>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</si>
  <si>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</si>
  <si>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</si>
  <si>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</si>
  <si>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</si>
  <si>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</si>
  <si>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</si>
  <si>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</si>
  <si>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</si>
  <si>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</si>
  <si>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</si>
  <si>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</si>
  <si>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</si>
  <si>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</si>
  <si>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</si>
  <si>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</si>
  <si>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</si>
  <si>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</si>
  <si>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</si>
  <si>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</si>
  <si>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</si>
  <si>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</si>
  <si>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</si>
  <si>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</si>
  <si>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</si>
  <si>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</si>
  <si>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</si>
  <si>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</si>
  <si>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</si>
  <si>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</si>
  <si>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</si>
  <si>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</si>
  <si>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</si>
  <si>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</si>
  <si>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</si>
  <si>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</si>
  <si>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</si>
  <si>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</si>
  <si>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</si>
  <si>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</si>
  <si>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</si>
  <si>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</si>
  <si>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</si>
  <si>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</si>
  <si>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</si>
  <si>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</si>
  <si>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</si>
  <si>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</si>
  <si>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</si>
  <si>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</si>
  <si>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</si>
  <si>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</si>
  <si>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</si>
  <si>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</si>
  <si>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</si>
  <si>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</si>
  <si>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</si>
  <si>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</si>
  <si>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</si>
  <si>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</si>
  <si>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</si>
  <si>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</si>
  <si>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</si>
  <si>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</si>
  <si>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</si>
  <si>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</si>
  <si>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</si>
  <si>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</si>
  <si>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</si>
  <si>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</si>
  <si>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</si>
  <si>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</si>
  <si>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</si>
  <si>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</si>
  <si>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</si>
  <si>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</si>
  <si>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</si>
  <si>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</si>
  <si>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</si>
  <si>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</si>
  <si>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</si>
  <si>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</si>
  <si>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</si>
  <si>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</si>
  <si>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</si>
  <si>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</si>
  <si>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</si>
  <si>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</si>
  <si>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</si>
  <si>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</si>
  <si>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</si>
  <si>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</si>
  <si>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</si>
  <si>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</si>
  <si>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</si>
  <si>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</si>
  <si>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</si>
  <si>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</si>
  <si>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</si>
  <si>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</si>
  <si>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</si>
  <si>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</si>
  <si>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</si>
  <si>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</si>
  <si>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</si>
  <si>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</si>
  <si>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</si>
  <si>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</si>
  <si>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</si>
  <si>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</si>
  <si>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</si>
  <si>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</si>
  <si>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</si>
  <si>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</si>
  <si>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</si>
  <si>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</si>
  <si>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</si>
  <si>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</si>
  <si>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</si>
  <si>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</si>
  <si>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</si>
  <si>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</si>
  <si>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</si>
  <si>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</si>
  <si>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</si>
  <si>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</si>
  <si>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</si>
  <si>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</si>
  <si>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</si>
  <si>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</si>
  <si>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</si>
  <si>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</si>
  <si>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</si>
  <si>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</si>
  <si>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</si>
  <si>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</si>
  <si>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</si>
  <si>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</si>
  <si>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</si>
  <si>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</si>
  <si>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</si>
  <si>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</si>
  <si>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</si>
  <si>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</si>
  <si>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</si>
  <si>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</si>
  <si>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</si>
  <si>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</si>
  <si>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</si>
  <si>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</si>
  <si>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</si>
  <si>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</si>
  <si>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</si>
  <si>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</si>
  <si>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</si>
  <si>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</si>
  <si>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</si>
  <si>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</si>
  <si>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</si>
  <si>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</si>
  <si>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</si>
  <si>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</si>
  <si>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</si>
  <si>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</si>
  <si>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</si>
  <si>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</si>
  <si>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</si>
  <si>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</si>
  <si>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</si>
  <si>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</si>
  <si>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</si>
  <si>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</si>
  <si>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</si>
  <si>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</si>
  <si>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</si>
  <si>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</si>
  <si>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</si>
  <si>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</si>
  <si>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</si>
  <si>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</si>
  <si>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</si>
  <si>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</si>
  <si>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</si>
  <si>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</si>
  <si>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</si>
  <si>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</si>
  <si>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</si>
  <si>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</si>
  <si>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</si>
  <si>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</si>
  <si>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</si>
  <si>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</si>
  <si>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</si>
  <si>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</si>
  <si>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</si>
  <si>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</si>
  <si>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</si>
  <si>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</si>
  <si>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</si>
  <si>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</si>
  <si>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</si>
  <si>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</si>
  <si>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</si>
  <si>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</si>
  <si>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</si>
  <si>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</si>
  <si>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</si>
  <si>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</si>
  <si>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</si>
  <si>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</si>
  <si>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</si>
  <si>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</si>
  <si>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</si>
  <si>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</si>
  <si>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</si>
  <si>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</si>
  <si>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</si>
  <si>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</si>
  <si>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</si>
  <si>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</si>
  <si>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</si>
  <si>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</si>
  <si>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</si>
  <si>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</si>
  <si>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</si>
  <si>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</si>
  <si>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</si>
  <si>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</si>
  <si>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</si>
  <si>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</si>
  <si>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</si>
  <si>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</si>
  <si>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</si>
  <si>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</si>
  <si>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</si>
  <si>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</si>
  <si>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</si>
  <si>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</si>
  <si>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</si>
  <si>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</si>
  <si>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</si>
  <si>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</si>
  <si>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</si>
  <si>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</si>
  <si>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</si>
  <si>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</si>
  <si>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</si>
  <si>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</si>
  <si>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</si>
  <si>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</si>
  <si>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</si>
  <si>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</si>
  <si>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</si>
  <si>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</si>
  <si>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</si>
  <si>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</si>
  <si>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</si>
  <si>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</si>
  <si>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</si>
  <si>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</si>
  <si>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</si>
  <si>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</si>
  <si>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</si>
  <si>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</si>
  <si>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</si>
  <si>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</si>
  <si>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</si>
  <si>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</si>
  <si>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</si>
  <si>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</si>
  <si>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</si>
  <si>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</si>
  <si>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</si>
  <si>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</si>
  <si>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</si>
  <si>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</si>
  <si>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</si>
  <si>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</si>
  <si>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</si>
  <si>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</si>
  <si>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</si>
  <si>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</si>
  <si>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</si>
  <si>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</si>
  <si>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</si>
  <si>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</si>
  <si>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</si>
  <si>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</si>
  <si>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</si>
  <si>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</si>
  <si>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</si>
  <si>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</si>
  <si>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</si>
  <si>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</si>
  <si>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</si>
  <si>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</si>
  <si>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</si>
  <si>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</si>
  <si>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</si>
  <si>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</si>
  <si>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</si>
  <si>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</si>
  <si>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</si>
  <si>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</si>
  <si>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</si>
  <si>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</si>
  <si>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</si>
  <si>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</si>
  <si>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</si>
  <si>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</si>
  <si>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</si>
  <si>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</si>
  <si>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</si>
  <si>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</si>
  <si>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</si>
  <si>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</si>
  <si>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</si>
  <si>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</si>
  <si>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</si>
  <si>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</si>
  <si>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</si>
  <si>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</si>
  <si>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</si>
  <si>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</si>
  <si>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</si>
  <si>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</si>
  <si>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</si>
  <si>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</si>
  <si>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</si>
  <si>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</si>
  <si>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</si>
  <si>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</si>
  <si>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</si>
  <si>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</si>
  <si>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</si>
  <si>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</si>
  <si>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</si>
  <si>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</si>
  <si>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</si>
  <si>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</si>
  <si>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</si>
  <si>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</si>
  <si>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</si>
  <si>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</si>
  <si>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</si>
  <si>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</si>
  <si>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</si>
  <si>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</si>
  <si>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</si>
  <si>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</si>
  <si>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</si>
  <si>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</si>
  <si>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</si>
  <si>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</si>
  <si>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</si>
  <si>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</si>
  <si>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</si>
  <si>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</si>
  <si>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</si>
  <si>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</si>
  <si>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</si>
  <si>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</si>
  <si>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</si>
  <si>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</si>
  <si>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</si>
  <si>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</si>
  <si>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</si>
  <si>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</si>
  <si>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</si>
  <si>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</si>
  <si>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</si>
  <si>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</si>
  <si>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</si>
  <si>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</si>
  <si>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</si>
  <si>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</si>
  <si>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</si>
  <si>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</si>
  <si>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</si>
  <si>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</si>
  <si>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</si>
  <si>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</si>
  <si>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</si>
  <si>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</si>
  <si>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</si>
  <si>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</si>
  <si>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</si>
  <si>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</si>
  <si>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</si>
  <si>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</si>
  <si>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</si>
  <si>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</si>
  <si>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</si>
  <si>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</si>
  <si>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</si>
  <si>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</si>
  <si>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</si>
  <si>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</si>
  <si>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</si>
  <si>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</si>
  <si>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</si>
  <si>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</si>
  <si>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</si>
  <si>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</si>
  <si>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</si>
  <si>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</si>
  <si>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</si>
  <si>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</si>
  <si>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</si>
  <si>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</si>
  <si>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</si>
  <si>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</si>
  <si>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</si>
  <si>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</si>
  <si>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</si>
  <si>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</si>
  <si>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</si>
  <si>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</si>
  <si>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</si>
  <si>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</si>
  <si>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</si>
  <si>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</si>
  <si>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</si>
  <si>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</si>
  <si>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</si>
  <si>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</si>
  <si>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</si>
  <si>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</si>
  <si>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</si>
  <si>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</si>
  <si>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</si>
  <si>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</si>
  <si>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</si>
  <si>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</si>
  <si>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</si>
  <si>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</si>
  <si>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</si>
  <si>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</si>
  <si>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</si>
  <si>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</si>
  <si>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</si>
  <si>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</si>
  <si>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</si>
  <si>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</si>
  <si>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</si>
  <si>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</si>
  <si>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</si>
  <si>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</si>
  <si>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</si>
  <si>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</si>
  <si>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</si>
  <si>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</si>
  <si>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Other 4. Please describe if used</t>
  </si>
  <si>
    <t>National Grid Electricity Distribution (South West)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</si>
</sst>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
    <numFmt numFmtId="183" formatCode="#,##0.000000000_ ;\-#,##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6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xf numFmtId="9" fontId="8" fillId="2" borderId="0" xfId="51" applyNumberFormat="1" applyProtection="1">
      <protection locked="0"/>
    </xf>
    <xf numFmtId="9" fontId="8" fillId="2" borderId="2" xfId="51" applyNumberFormat="1" applyBorder="1" applyProtection="1">
      <protection locked="0"/>
    </xf>
    <xf numFmtId="175" fontId="8" fillId="2" borderId="2" xfId="51" applyNumberFormat="1" applyBorder="1" applyProtection="1">
      <protection locked="0"/>
    </xf>
    <xf numFmtId="175" fontId="8" fillId="2" borderId="0" xfId="51" applyNumberFormat="1" applyProtection="1">
      <protection locked="0"/>
    </xf>
    <xf numFmtId="9" fontId="8" fillId="2" borderId="3" xfId="51" applyNumberFormat="1" applyBorder="1" applyProtection="1">
      <protection locked="0"/>
    </xf>
    <xf numFmtId="0" fontId="8" fillId="4" borderId="2" xfId="55" applyNumberFormat="1" applyBorder="1" applyProtection="1">
      <alignment vertical="top"/>
    </xf>
    <xf numFmtId="0" fontId="8" fillId="4" borderId="0" xfId="55" applyNumberFormat="1" applyProtection="1">
      <alignment vertical="top"/>
    </xf>
    <xf numFmtId="9" fontId="8" fillId="4" borderId="0" xfId="55" applyNumberFormat="1" applyProtection="1">
      <alignment vertical="top"/>
    </xf>
    <xf numFmtId="0" fontId="8" fillId="4" borderId="3" xfId="55" applyNumberFormat="1" applyBorder="1" applyProtection="1">
      <alignment vertical="top"/>
    </xf>
    <xf numFmtId="9" fontId="8" fillId="4" borderId="3" xfId="55" applyNumberFormat="1" applyBorder="1" applyProtection="1">
      <alignment vertical="top"/>
    </xf>
    <xf numFmtId="182" fontId="0" fillId="0" borderId="0" xfId="0" applyNumberFormat="1"/>
    <xf numFmtId="183" fontId="0" fillId="0" borderId="0" xfId="0" applyNumberFormat="1"/>
    <xf numFmtId="170" fontId="0" fillId="2" borderId="0" xfId="51" applyNumberFormat="1" applyFont="1" applyBorder="1" applyAlignment="1" applyProtection="1">
      <alignment horizontal="left" vertical="top" wrapText="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topLeftCell="A13"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28" t="s">
        <v>1167</v>
      </c>
    </row>
    <row r="5" spans="2:4" ht="15" customHeight="1" x14ac:dyDescent="0.25">
      <c r="D5" s="16"/>
    </row>
    <row r="6" spans="2:4" ht="15" customHeight="1" x14ac:dyDescent="0.25">
      <c r="B6" s="17" t="str">
        <f>'Version control'!F7</f>
        <v>Model date:</v>
      </c>
      <c r="D6" s="426">
        <f>'Version control'!H7</f>
        <v>44861</v>
      </c>
    </row>
    <row r="7" spans="2:4" ht="15" customHeight="1" x14ac:dyDescent="0.25">
      <c r="D7" s="429"/>
    </row>
    <row r="8" spans="2:4" ht="15" customHeight="1" x14ac:dyDescent="0.25">
      <c r="B8" s="17" t="str">
        <f>'Version control'!F9</f>
        <v>Development stage:</v>
      </c>
      <c r="D8" s="426" t="str">
        <f>'Version control'!H9</f>
        <v>Release for charge setting</v>
      </c>
    </row>
    <row r="9" spans="2:4" ht="15" customHeight="1" x14ac:dyDescent="0.25">
      <c r="D9" s="429"/>
    </row>
    <row r="10" spans="2:4" ht="15" customHeight="1" x14ac:dyDescent="0.25">
      <c r="B10" s="17" t="str">
        <f>'Version control'!F11</f>
        <v>Model number:</v>
      </c>
      <c r="D10" s="429">
        <f>'Version control'!H11</f>
        <v>9</v>
      </c>
    </row>
    <row r="11" spans="2:4" ht="15" customHeight="1" x14ac:dyDescent="0.25">
      <c r="D11" s="429"/>
    </row>
    <row r="12" spans="2:4" ht="30" customHeight="1" x14ac:dyDescent="0.25">
      <c r="B12" s="17" t="str">
        <f>'Version control'!F13</f>
        <v>DCUSA text version:</v>
      </c>
      <c r="D12" s="427" t="str">
        <f>'Version control'!H13</f>
        <v>Attachment A_2024-25 Charging Methodologies Pre-Release (shared 06/10/2022)</v>
      </c>
    </row>
    <row r="13" spans="2:4" ht="15" customHeight="1" x14ac:dyDescent="0.25">
      <c r="D13" s="429"/>
    </row>
    <row r="14" spans="2:4" ht="15" customHeight="1" x14ac:dyDescent="0.25">
      <c r="B14" s="17" t="str">
        <f>'Version control'!F15</f>
        <v>DCUSA text schedule:</v>
      </c>
      <c r="D14" s="426"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1168</v>
      </c>
    </row>
    <row r="21" spans="2:4" ht="15" customHeight="1" x14ac:dyDescent="0.25">
      <c r="B21" s="17" t="s">
        <v>4</v>
      </c>
      <c r="D21" s="462" t="s">
        <v>1170</v>
      </c>
    </row>
    <row r="23" spans="2:4" ht="15" customHeight="1" x14ac:dyDescent="0.25">
      <c r="B23" s="17" t="s">
        <v>5</v>
      </c>
      <c r="D23" s="231" t="s">
        <v>6</v>
      </c>
    </row>
    <row r="25" spans="2:4" ht="30" customHeight="1" x14ac:dyDescent="0.25">
      <c r="B25" s="17" t="s">
        <v>7</v>
      </c>
      <c r="D25" s="231" t="s">
        <v>8</v>
      </c>
    </row>
    <row r="26" spans="2:4" ht="15" customHeight="1" x14ac:dyDescent="0.25">
      <c r="B26" s="17"/>
    </row>
    <row r="27" spans="2:4" ht="15" customHeight="1" x14ac:dyDescent="0.25">
      <c r="B27" s="17" t="s">
        <v>9</v>
      </c>
    </row>
    <row r="28" spans="2:4" ht="15" customHeight="1" x14ac:dyDescent="0.25">
      <c r="B28" s="430" t="s">
        <v>10</v>
      </c>
      <c r="C28" s="431"/>
      <c r="D28" s="431" t="s">
        <v>11</v>
      </c>
    </row>
    <row r="29" spans="2:4" x14ac:dyDescent="0.25">
      <c r="B29" s="432"/>
      <c r="C29" s="59"/>
      <c r="D29" s="59" t="s">
        <v>12</v>
      </c>
    </row>
    <row r="30" spans="2:4" x14ac:dyDescent="0.25">
      <c r="B30" s="433" t="s">
        <v>13</v>
      </c>
      <c r="D30" s="3" t="s">
        <v>14</v>
      </c>
    </row>
    <row r="31" spans="2:4" x14ac:dyDescent="0.25">
      <c r="B31" s="434" t="s">
        <v>13</v>
      </c>
      <c r="D31" s="3" t="s">
        <v>15</v>
      </c>
    </row>
    <row r="32" spans="2:4" x14ac:dyDescent="0.25">
      <c r="B32" s="435" t="s">
        <v>13</v>
      </c>
      <c r="D32" s="3" t="s">
        <v>16</v>
      </c>
    </row>
    <row r="33" spans="2:4" x14ac:dyDescent="0.25">
      <c r="B33" s="436" t="s">
        <v>13</v>
      </c>
      <c r="D33" s="3" t="s">
        <v>17</v>
      </c>
    </row>
    <row r="34" spans="2:4" x14ac:dyDescent="0.25">
      <c r="B34" s="437" t="s">
        <v>13</v>
      </c>
      <c r="D34" s="3" t="s">
        <v>18</v>
      </c>
    </row>
    <row r="35" spans="2:4" x14ac:dyDescent="0.25">
      <c r="B35" s="438" t="s">
        <v>13</v>
      </c>
      <c r="D35" s="3" t="s">
        <v>19</v>
      </c>
    </row>
    <row r="36" spans="2:4" x14ac:dyDescent="0.25">
      <c r="B36" s="439" t="s">
        <v>13</v>
      </c>
      <c r="D36" s="3" t="s">
        <v>20</v>
      </c>
    </row>
    <row r="37" spans="2:4" x14ac:dyDescent="0.25">
      <c r="B37" s="440" t="s">
        <v>21</v>
      </c>
      <c r="D37" s="3" t="s">
        <v>22</v>
      </c>
    </row>
    <row r="38" spans="2:4" ht="15" customHeight="1" x14ac:dyDescent="0.25">
      <c r="B38" s="360" t="s">
        <v>21</v>
      </c>
      <c r="D38" s="3" t="s">
        <v>23</v>
      </c>
    </row>
    <row r="39" spans="2:4" ht="15" customHeight="1" x14ac:dyDescent="0.25">
      <c r="B39" s="431" t="s">
        <v>21</v>
      </c>
      <c r="D39" s="3" t="s">
        <v>24</v>
      </c>
    </row>
    <row r="40" spans="2:4" ht="15" customHeight="1" x14ac:dyDescent="0.25">
      <c r="B40" s="441" t="s">
        <v>21</v>
      </c>
      <c r="D40" s="3" t="s">
        <v>25</v>
      </c>
    </row>
    <row r="41" spans="2:4" ht="15" customHeight="1" x14ac:dyDescent="0.25">
      <c r="B41" s="165" t="s">
        <v>21</v>
      </c>
      <c r="D41" s="3" t="s">
        <v>26</v>
      </c>
    </row>
    <row r="42" spans="2:4" ht="15" customHeight="1" x14ac:dyDescent="0.25">
      <c r="B42" s="442" t="s">
        <v>21</v>
      </c>
      <c r="D42" s="3" t="s">
        <v>27</v>
      </c>
    </row>
    <row r="43" spans="2:4" ht="15" customHeight="1" x14ac:dyDescent="0.25">
      <c r="B43" s="443" t="s">
        <v>28</v>
      </c>
      <c r="D43" s="3" t="s">
        <v>29</v>
      </c>
    </row>
    <row r="44" spans="2:4" ht="15" customHeight="1" x14ac:dyDescent="0.25">
      <c r="B44" s="444" t="s">
        <v>28</v>
      </c>
      <c r="D44" s="3" t="s">
        <v>30</v>
      </c>
    </row>
    <row r="45" spans="2:4" ht="15" customHeight="1" x14ac:dyDescent="0.25">
      <c r="B45" s="445" t="s">
        <v>28</v>
      </c>
      <c r="D45" s="3" t="s">
        <v>31</v>
      </c>
    </row>
    <row r="46" spans="2:4" ht="15" customHeight="1" x14ac:dyDescent="0.25">
      <c r="B46" s="446" t="s">
        <v>28</v>
      </c>
      <c r="C46" s="66"/>
      <c r="D46" s="66" t="s">
        <v>32</v>
      </c>
    </row>
    <row r="47" spans="2:4" ht="15" customHeight="1" x14ac:dyDescent="0.25">
      <c r="D47" s="447"/>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155</v>
      </c>
      <c r="AA23" t="s">
        <v>204</v>
      </c>
    </row>
    <row r="24" spans="2:27" x14ac:dyDescent="0.25">
      <c r="D24"/>
      <c r="E24" s="24" t="s">
        <v>374</v>
      </c>
    </row>
    <row r="25" spans="2:27" x14ac:dyDescent="0.25">
      <c r="D25" s="78"/>
      <c r="F25" s="19" t="s">
        <v>190</v>
      </c>
      <c r="G25" s="19" t="s">
        <v>168</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192</v>
      </c>
      <c r="G26" t="s">
        <v>168</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193</v>
      </c>
      <c r="G27" t="s">
        <v>168</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194</v>
      </c>
      <c r="G28" t="s">
        <v>168</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195</v>
      </c>
      <c r="G29" t="s">
        <v>168</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196</v>
      </c>
      <c r="G30" t="s">
        <v>168</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197</v>
      </c>
      <c r="G31" t="s">
        <v>168</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198</v>
      </c>
      <c r="G32" t="s">
        <v>168</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199</v>
      </c>
      <c r="G33" t="s">
        <v>168</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200</v>
      </c>
      <c r="G34" t="s">
        <v>168</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168</v>
      </c>
      <c r="J35" s="56"/>
      <c r="K35" s="56"/>
      <c r="L35" s="56"/>
      <c r="M35" s="56"/>
      <c r="N35" s="56"/>
      <c r="O35" s="56"/>
      <c r="P35" s="56"/>
      <c r="Q35" s="56"/>
      <c r="R35" s="56"/>
      <c r="S35" s="56"/>
      <c r="T35" s="56"/>
      <c r="U35" s="56"/>
      <c r="V35" s="56"/>
      <c r="W35" s="56"/>
      <c r="X35" s="56"/>
      <c r="Y35" s="56"/>
    </row>
    <row r="36" spans="4:27" x14ac:dyDescent="0.25">
      <c r="D36" s="78"/>
      <c r="F36" s="28" t="s">
        <v>376</v>
      </c>
      <c r="G36" s="28" t="s">
        <v>168</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282</v>
      </c>
      <c r="F38" s="2"/>
    </row>
    <row r="39" spans="4:27" x14ac:dyDescent="0.25">
      <c r="D39" s="78"/>
      <c r="E39"/>
      <c r="F39" s="23" t="s">
        <v>282</v>
      </c>
      <c r="G39" s="23" t="s">
        <v>168</v>
      </c>
      <c r="H39" s="21">
        <f>'Inputs by network level'!P17</f>
        <v>0</v>
      </c>
    </row>
    <row r="40" spans="4:27" x14ac:dyDescent="0.25">
      <c r="D40" s="78"/>
      <c r="F40" s="2"/>
    </row>
    <row r="41" spans="4:27" x14ac:dyDescent="0.25">
      <c r="D41"/>
      <c r="E41" s="27" t="s">
        <v>377</v>
      </c>
      <c r="F41" s="27"/>
    </row>
    <row r="42" spans="4:27" x14ac:dyDescent="0.25">
      <c r="D42"/>
      <c r="E42" s="24" t="s">
        <v>378</v>
      </c>
    </row>
    <row r="43" spans="4:27" x14ac:dyDescent="0.25">
      <c r="D43" s="78"/>
      <c r="F43" s="19" t="s">
        <v>190</v>
      </c>
      <c r="G43" s="19" t="s">
        <v>168</v>
      </c>
      <c r="H43" s="19"/>
      <c r="I43" s="19"/>
      <c r="J43" s="55"/>
      <c r="K43" s="55"/>
      <c r="L43" s="55"/>
      <c r="M43" s="55"/>
      <c r="N43" s="55"/>
      <c r="O43" s="55"/>
      <c r="P43" s="55"/>
      <c r="Q43" s="55"/>
      <c r="R43" s="55"/>
      <c r="S43" s="55"/>
      <c r="T43" s="55"/>
      <c r="U43" s="55"/>
      <c r="V43" s="55"/>
      <c r="W43" s="55"/>
      <c r="X43" s="55"/>
      <c r="Y43" s="55"/>
    </row>
    <row r="44" spans="4:27" x14ac:dyDescent="0.25">
      <c r="D44" s="78"/>
      <c r="F44" t="s">
        <v>192</v>
      </c>
      <c r="G44" t="s">
        <v>168</v>
      </c>
      <c r="J44" s="56"/>
      <c r="K44" s="56"/>
      <c r="L44" s="56"/>
      <c r="M44" s="56"/>
      <c r="N44" s="56"/>
      <c r="O44" s="56"/>
      <c r="P44" s="56"/>
      <c r="Q44" s="56"/>
      <c r="R44" s="56"/>
      <c r="S44" s="56"/>
      <c r="T44" s="56"/>
      <c r="U44" s="56"/>
      <c r="V44" s="56"/>
      <c r="W44" s="56"/>
      <c r="X44" s="56"/>
      <c r="Y44" s="56"/>
    </row>
    <row r="45" spans="4:27" x14ac:dyDescent="0.25">
      <c r="D45" s="78"/>
      <c r="F45" s="98" t="s">
        <v>193</v>
      </c>
      <c r="G45" s="98" t="s">
        <v>168</v>
      </c>
      <c r="H45" s="98"/>
      <c r="I45" s="98" t="s">
        <v>155</v>
      </c>
      <c r="J45" s="99">
        <f>IF($H$39 = 0, J27, J29 * $H$39)</f>
        <v>0</v>
      </c>
      <c r="K45" s="99">
        <f t="shared" ref="K45:Q45" si="0">IF($H$39 = 0, K27, K29 * $H$39)</f>
        <v>0</v>
      </c>
      <c r="L45" s="99">
        <f t="shared" si="0"/>
        <v>0</v>
      </c>
      <c r="M45" s="99">
        <f t="shared" si="0"/>
        <v>0</v>
      </c>
      <c r="N45" s="99">
        <f t="shared" si="0"/>
        <v>0</v>
      </c>
      <c r="O45" s="99">
        <f t="shared" si="0"/>
        <v>0</v>
      </c>
      <c r="P45" s="99">
        <f t="shared" si="0"/>
        <v>0</v>
      </c>
      <c r="Q45" s="99">
        <f t="shared" si="0"/>
        <v>0</v>
      </c>
      <c r="R45" s="100"/>
      <c r="S45" s="100"/>
      <c r="T45" s="100"/>
      <c r="U45" s="100"/>
      <c r="V45" s="100"/>
      <c r="W45" s="100"/>
      <c r="X45" s="100"/>
      <c r="Y45" s="100"/>
      <c r="AA45" t="s">
        <v>379</v>
      </c>
    </row>
    <row r="46" spans="4:27" x14ac:dyDescent="0.25">
      <c r="D46" s="78"/>
      <c r="F46" t="s">
        <v>194</v>
      </c>
      <c r="G46" t="s">
        <v>168</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195</v>
      </c>
      <c r="G47" t="s">
        <v>168</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196</v>
      </c>
      <c r="G48" t="s">
        <v>168</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197</v>
      </c>
      <c r="G49" s="98" t="s">
        <v>168</v>
      </c>
      <c r="H49" s="98"/>
      <c r="I49" s="98" t="s">
        <v>155</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198</v>
      </c>
      <c r="G50" t="s">
        <v>168</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199</v>
      </c>
      <c r="G51" t="s">
        <v>168</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200</v>
      </c>
      <c r="G52" t="s">
        <v>168</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168</v>
      </c>
      <c r="J53" s="56"/>
      <c r="K53" s="56"/>
      <c r="L53" s="56"/>
      <c r="M53" s="56"/>
      <c r="N53" s="56"/>
      <c r="O53" s="56"/>
      <c r="P53" s="56"/>
      <c r="Q53" s="56"/>
      <c r="R53" s="56"/>
      <c r="S53" s="56"/>
      <c r="T53" s="56"/>
      <c r="U53" s="56"/>
      <c r="V53" s="56"/>
      <c r="W53" s="56"/>
      <c r="X53" s="56"/>
      <c r="Y53" s="56"/>
    </row>
    <row r="54" spans="2:27" x14ac:dyDescent="0.25">
      <c r="D54" s="78"/>
      <c r="F54" s="28" t="s">
        <v>376</v>
      </c>
      <c r="G54" s="28" t="s">
        <v>168</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232</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233</v>
      </c>
      <c r="G58" s="6" t="s">
        <v>56</v>
      </c>
      <c r="H58" s="93">
        <f t="array" ref="H58">SUM(IF(ISERROR(H25:Y54), 1))</f>
        <v>0</v>
      </c>
    </row>
    <row r="59" spans="2:27" x14ac:dyDescent="0.25">
      <c r="D59"/>
      <c r="E59"/>
    </row>
    <row r="60" spans="2:27" x14ac:dyDescent="0.25">
      <c r="B60" s="25" t="s">
        <v>107</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National Grid Electricity Distribution (South West) plc - [enter data version name]</v>
      </c>
    </row>
    <row r="3" spans="1:23" s="5" customFormat="1" x14ac:dyDescent="0.25">
      <c r="A3" s="5" t="str">
        <f>Cover!D2&amp;" - "&amp;Cover!D8&amp;" v"&amp;Cover!D10&amp;" - "&amp;Cover!D19</f>
        <v>CDCM charging model - Release for charge setting v9 - 2024/25</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104"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24"/>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168</v>
      </c>
      <c r="H19" s="3"/>
      <c r="I19" s="3"/>
      <c r="J19" s="84"/>
      <c r="K19" s="106">
        <f>'Inputs by network level'!K15</f>
        <v>2.1999999999999999E-2</v>
      </c>
      <c r="L19" s="106">
        <f>'Inputs by network level'!L15</f>
        <v>3.1E-2</v>
      </c>
      <c r="M19" s="84"/>
      <c r="N19" s="106">
        <f>'Inputs by network level'!N15</f>
        <v>7.4999999999999997E-2</v>
      </c>
      <c r="O19" s="84"/>
      <c r="P19" s="84"/>
      <c r="Q19" s="106">
        <f>'Inputs by network level'!Q15</f>
        <v>0.37</v>
      </c>
      <c r="R19" s="84"/>
      <c r="S19" s="84"/>
      <c r="T19" s="56"/>
      <c r="U19" s="56"/>
    </row>
    <row r="20" spans="2:23" x14ac:dyDescent="0.25">
      <c r="E20" t="s">
        <v>244</v>
      </c>
      <c r="F20" s="105"/>
      <c r="G20" s="12" t="s">
        <v>168</v>
      </c>
      <c r="H20" s="3"/>
      <c r="I20" s="3"/>
      <c r="J20" s="107">
        <f t="shared" ref="J20" si="0">IF(I20 = "", 1, I20 / (1 + J19))</f>
        <v>1</v>
      </c>
      <c r="K20" s="107">
        <f>IF(J20 = "", 1, J20 / (1 + K19))</f>
        <v>0.97847358121330719</v>
      </c>
      <c r="L20" s="107">
        <f t="shared" ref="L20:S20" si="1">IF(K20 = "", 1, K20 / (1 + L19))</f>
        <v>0.94905294007110308</v>
      </c>
      <c r="M20" s="107">
        <f t="shared" si="1"/>
        <v>0.94905294007110308</v>
      </c>
      <c r="N20" s="107">
        <f t="shared" si="1"/>
        <v>0.88283994425218892</v>
      </c>
      <c r="O20" s="107">
        <f t="shared" si="1"/>
        <v>0.88283994425218892</v>
      </c>
      <c r="P20" s="107">
        <f t="shared" si="1"/>
        <v>0.88283994425218892</v>
      </c>
      <c r="Q20" s="107">
        <f t="shared" si="1"/>
        <v>0.64440871843225467</v>
      </c>
      <c r="R20" s="107">
        <f t="shared" si="1"/>
        <v>0.64440871843225467</v>
      </c>
      <c r="S20" s="107">
        <f t="shared" si="1"/>
        <v>0.64440871843225467</v>
      </c>
      <c r="T20" s="56"/>
      <c r="U20" s="56"/>
    </row>
    <row r="21" spans="2:23" x14ac:dyDescent="0.25">
      <c r="E21" t="s">
        <v>387</v>
      </c>
      <c r="F21" s="105"/>
      <c r="G21" s="12" t="s">
        <v>168</v>
      </c>
      <c r="H21" s="3"/>
      <c r="I21" s="3"/>
      <c r="J21" s="107">
        <f>1 / J20 - 1</f>
        <v>0</v>
      </c>
      <c r="K21" s="107">
        <f t="shared" ref="K21:S21" si="2">1 / K20 - 1</f>
        <v>2.200000000000002E-2</v>
      </c>
      <c r="L21" s="107">
        <f t="shared" si="2"/>
        <v>5.3682000000000007E-2</v>
      </c>
      <c r="M21" s="107">
        <f t="shared" si="2"/>
        <v>5.3682000000000007E-2</v>
      </c>
      <c r="N21" s="107">
        <f t="shared" si="2"/>
        <v>0.13270815000000002</v>
      </c>
      <c r="O21" s="107">
        <f t="shared" si="2"/>
        <v>0.13270815000000002</v>
      </c>
      <c r="P21" s="107">
        <f t="shared" si="2"/>
        <v>0.13270815000000002</v>
      </c>
      <c r="Q21" s="107">
        <f t="shared" si="2"/>
        <v>0.55181016550000006</v>
      </c>
      <c r="R21" s="107">
        <f t="shared" si="2"/>
        <v>0.55181016550000006</v>
      </c>
      <c r="S21" s="107">
        <f t="shared" si="2"/>
        <v>0.55181016550000006</v>
      </c>
      <c r="T21" s="56"/>
      <c r="U21" s="56"/>
    </row>
    <row r="22" spans="2:23" x14ac:dyDescent="0.25">
      <c r="E22" t="s">
        <v>388</v>
      </c>
      <c r="F22" s="105"/>
      <c r="G22" s="12" t="s">
        <v>168</v>
      </c>
      <c r="H22" s="3"/>
      <c r="I22" s="3"/>
      <c r="J22" s="84"/>
      <c r="K22" s="84"/>
      <c r="L22" s="84"/>
      <c r="M22" s="84"/>
      <c r="N22" s="84"/>
      <c r="O22" s="84"/>
      <c r="P22" s="107">
        <f>M21</f>
        <v>5.3682000000000007E-2</v>
      </c>
      <c r="Q22" s="84"/>
      <c r="R22" s="84"/>
      <c r="S22" s="84"/>
      <c r="T22" s="56"/>
      <c r="U22" s="56"/>
    </row>
    <row r="23" spans="2:23" x14ac:dyDescent="0.25">
      <c r="E23" t="s">
        <v>389</v>
      </c>
      <c r="F23" s="105"/>
      <c r="G23" s="12" t="s">
        <v>168</v>
      </c>
      <c r="H23" s="3"/>
      <c r="I23" s="3" t="s">
        <v>155</v>
      </c>
      <c r="J23" s="108">
        <f t="shared" ref="J23:S23" si="3">IF(J22 = "", J21, J22)</f>
        <v>0</v>
      </c>
      <c r="K23" s="108">
        <f t="shared" si="3"/>
        <v>2.200000000000002E-2</v>
      </c>
      <c r="L23" s="108">
        <f t="shared" si="3"/>
        <v>5.3682000000000007E-2</v>
      </c>
      <c r="M23" s="108">
        <f t="shared" si="3"/>
        <v>5.3682000000000007E-2</v>
      </c>
      <c r="N23" s="108">
        <f t="shared" si="3"/>
        <v>0.13270815000000002</v>
      </c>
      <c r="O23" s="108">
        <f t="shared" si="3"/>
        <v>0.13270815000000002</v>
      </c>
      <c r="P23" s="108">
        <f t="shared" si="3"/>
        <v>5.3682000000000007E-2</v>
      </c>
      <c r="Q23" s="108">
        <f t="shared" si="3"/>
        <v>0.55181016550000006</v>
      </c>
      <c r="R23" s="108">
        <f t="shared" si="3"/>
        <v>0.55181016550000006</v>
      </c>
      <c r="S23" s="108">
        <f t="shared" si="3"/>
        <v>0.55181016550000006</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284</v>
      </c>
      <c r="H27" s="3"/>
      <c r="I27" s="3"/>
      <c r="J27" s="69"/>
      <c r="K27" s="110">
        <f>'Inputs by network level'!K19</f>
        <v>1</v>
      </c>
      <c r="L27" s="110">
        <f>'Inputs by network level'!L19</f>
        <v>1</v>
      </c>
      <c r="M27" s="110">
        <f>'Inputs by network level'!M19</f>
        <v>1.004</v>
      </c>
      <c r="N27" s="110">
        <f>'Inputs by network level'!N19</f>
        <v>1.01</v>
      </c>
      <c r="O27" s="110">
        <f>'Inputs by network level'!O19</f>
        <v>1.014</v>
      </c>
      <c r="P27" s="69"/>
      <c r="Q27" s="110">
        <f>'Inputs by network level'!Q19</f>
        <v>1.0309999999999999</v>
      </c>
      <c r="R27" s="110">
        <f>'Inputs by network level'!R19</f>
        <v>1.0429999999999999</v>
      </c>
      <c r="S27" s="110">
        <f>'Inputs by network level'!S19</f>
        <v>1.0580000000000001</v>
      </c>
      <c r="T27" s="69"/>
      <c r="U27" s="69"/>
    </row>
    <row r="28" spans="2:23" x14ac:dyDescent="0.25">
      <c r="E28" t="s">
        <v>392</v>
      </c>
      <c r="F28" s="109"/>
      <c r="G28" s="62" t="s">
        <v>284</v>
      </c>
      <c r="H28" s="3"/>
      <c r="I28" s="3"/>
      <c r="J28" s="88">
        <f>K27</f>
        <v>1</v>
      </c>
      <c r="K28" s="69"/>
      <c r="L28" s="69"/>
      <c r="M28" s="69"/>
      <c r="N28" s="69"/>
      <c r="O28" s="69"/>
      <c r="P28" s="88">
        <f>O27</f>
        <v>1.014</v>
      </c>
      <c r="Q28" s="69"/>
      <c r="R28" s="69"/>
      <c r="S28" s="69"/>
      <c r="T28" s="69"/>
      <c r="U28" s="69"/>
    </row>
    <row r="29" spans="2:23" x14ac:dyDescent="0.25">
      <c r="E29" t="s">
        <v>393</v>
      </c>
      <c r="F29" s="109"/>
      <c r="G29" s="62" t="s">
        <v>284</v>
      </c>
      <c r="H29" s="3"/>
      <c r="I29" s="3" t="s">
        <v>155</v>
      </c>
      <c r="J29" s="111">
        <f t="shared" ref="J29:S29" si="4">J27 + J28</f>
        <v>1</v>
      </c>
      <c r="K29" s="111">
        <f t="shared" si="4"/>
        <v>1</v>
      </c>
      <c r="L29" s="111">
        <f t="shared" si="4"/>
        <v>1</v>
      </c>
      <c r="M29" s="111">
        <f t="shared" si="4"/>
        <v>1.004</v>
      </c>
      <c r="N29" s="111">
        <f t="shared" si="4"/>
        <v>1.01</v>
      </c>
      <c r="O29" s="111">
        <f t="shared" si="4"/>
        <v>1.014</v>
      </c>
      <c r="P29" s="111">
        <f t="shared" si="4"/>
        <v>1.014</v>
      </c>
      <c r="Q29" s="111">
        <f t="shared" si="4"/>
        <v>1.0309999999999999</v>
      </c>
      <c r="R29" s="111">
        <f t="shared" si="4"/>
        <v>1.0429999999999999</v>
      </c>
      <c r="S29" s="111">
        <f t="shared" si="4"/>
        <v>1.0580000000000001</v>
      </c>
      <c r="T29" s="69"/>
      <c r="U29" s="69"/>
      <c r="W29" s="53" t="s">
        <v>285</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197</v>
      </c>
      <c r="F37" s="23"/>
      <c r="G37" s="62" t="s">
        <v>168</v>
      </c>
      <c r="H37" s="106">
        <f>'Inputs by network level'!P17</f>
        <v>0</v>
      </c>
      <c r="I37" s="3"/>
    </row>
    <row r="38" spans="3:23" x14ac:dyDescent="0.25">
      <c r="E38" t="s">
        <v>396</v>
      </c>
      <c r="F38" s="105"/>
      <c r="G38" s="12" t="s">
        <v>168</v>
      </c>
      <c r="H38" s="3"/>
      <c r="I38" s="3"/>
      <c r="J38" s="56"/>
      <c r="K38" s="56"/>
      <c r="L38" s="56"/>
      <c r="M38" s="112">
        <f>1 - $H$37</f>
        <v>1</v>
      </c>
      <c r="N38" s="112">
        <f>1 - $H$37</f>
        <v>1</v>
      </c>
      <c r="O38" s="112">
        <f>1 - $H$37</f>
        <v>1</v>
      </c>
      <c r="P38" s="113">
        <f>H37</f>
        <v>0</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188</v>
      </c>
      <c r="G44" s="12"/>
    </row>
    <row r="45" spans="3:23" x14ac:dyDescent="0.25">
      <c r="E45" s="24" t="s">
        <v>398</v>
      </c>
      <c r="G45" s="12"/>
    </row>
    <row r="46" spans="3:23" x14ac:dyDescent="0.25">
      <c r="F46" s="19" t="s">
        <v>827</v>
      </c>
      <c r="G46" s="68" t="s">
        <v>191</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191</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191</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191</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191</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191</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191</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191</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191</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191</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191</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191</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191</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191</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191</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191</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191</v>
      </c>
      <c r="H65" s="19"/>
      <c r="I65" s="19"/>
      <c r="J65" s="116">
        <f t="shared" ref="J65:S65" si="5">IF(J$38 = "", J46, J46 * J$38)</f>
        <v>1</v>
      </c>
      <c r="K65" s="116">
        <f t="shared" si="5"/>
        <v>1</v>
      </c>
      <c r="L65" s="116">
        <f t="shared" si="5"/>
        <v>1</v>
      </c>
      <c r="M65" s="116">
        <f t="shared" si="5"/>
        <v>1</v>
      </c>
      <c r="N65" s="116">
        <f t="shared" si="5"/>
        <v>1</v>
      </c>
      <c r="O65" s="116">
        <f t="shared" si="5"/>
        <v>1</v>
      </c>
      <c r="P65" s="116">
        <f t="shared" si="5"/>
        <v>0</v>
      </c>
      <c r="Q65" s="116">
        <f t="shared" si="5"/>
        <v>1</v>
      </c>
      <c r="R65" s="116">
        <f t="shared" si="5"/>
        <v>1</v>
      </c>
      <c r="S65" s="116">
        <f t="shared" si="5"/>
        <v>1</v>
      </c>
      <c r="T65" s="73"/>
      <c r="U65" s="73"/>
      <c r="W65" s="3"/>
    </row>
    <row r="66" spans="6:23" x14ac:dyDescent="0.25">
      <c r="F66" t="s">
        <v>829</v>
      </c>
      <c r="G66" s="62" t="s">
        <v>191</v>
      </c>
      <c r="J66" s="88">
        <f t="shared" ref="J66:S66" si="6">IF(J$38 = "", J47, J47 * J$38)</f>
        <v>1</v>
      </c>
      <c r="K66" s="88">
        <f t="shared" si="6"/>
        <v>1</v>
      </c>
      <c r="L66" s="88">
        <f t="shared" si="6"/>
        <v>1</v>
      </c>
      <c r="M66" s="88">
        <f t="shared" si="6"/>
        <v>1</v>
      </c>
      <c r="N66" s="88">
        <f t="shared" si="6"/>
        <v>1</v>
      </c>
      <c r="O66" s="88">
        <f t="shared" si="6"/>
        <v>1</v>
      </c>
      <c r="P66" s="88">
        <f t="shared" si="6"/>
        <v>0</v>
      </c>
      <c r="Q66" s="88">
        <f t="shared" si="6"/>
        <v>1</v>
      </c>
      <c r="R66" s="88">
        <f t="shared" si="6"/>
        <v>1</v>
      </c>
      <c r="S66" s="88">
        <f t="shared" si="6"/>
        <v>1</v>
      </c>
      <c r="T66" s="69"/>
      <c r="U66" s="69"/>
    </row>
    <row r="67" spans="6:23" x14ac:dyDescent="0.25">
      <c r="F67" t="s">
        <v>828</v>
      </c>
      <c r="G67" s="62" t="s">
        <v>191</v>
      </c>
      <c r="J67" s="88">
        <f t="shared" ref="J67:S67" si="7">IF(J$38 = "", J48, J48 * J$38)</f>
        <v>1</v>
      </c>
      <c r="K67" s="88">
        <f t="shared" si="7"/>
        <v>1</v>
      </c>
      <c r="L67" s="88">
        <f t="shared" si="7"/>
        <v>1</v>
      </c>
      <c r="M67" s="88">
        <f t="shared" si="7"/>
        <v>1</v>
      </c>
      <c r="N67" s="88">
        <f t="shared" si="7"/>
        <v>1</v>
      </c>
      <c r="O67" s="88">
        <f t="shared" si="7"/>
        <v>1</v>
      </c>
      <c r="P67" s="88">
        <f t="shared" si="7"/>
        <v>0</v>
      </c>
      <c r="Q67" s="88">
        <f t="shared" si="7"/>
        <v>1</v>
      </c>
      <c r="R67" s="88">
        <f t="shared" si="7"/>
        <v>1</v>
      </c>
      <c r="S67" s="88">
        <f t="shared" si="7"/>
        <v>1</v>
      </c>
      <c r="T67" s="69"/>
      <c r="U67" s="69"/>
    </row>
    <row r="68" spans="6:23" x14ac:dyDescent="0.25">
      <c r="F68" t="s">
        <v>830</v>
      </c>
      <c r="G68" s="62" t="s">
        <v>191</v>
      </c>
      <c r="J68" s="88">
        <f t="shared" ref="J68:S68" si="8">IF(J$38 = "", J49, J49 * J$38)</f>
        <v>1</v>
      </c>
      <c r="K68" s="88">
        <f t="shared" si="8"/>
        <v>1</v>
      </c>
      <c r="L68" s="88">
        <f t="shared" si="8"/>
        <v>1</v>
      </c>
      <c r="M68" s="88">
        <f t="shared" si="8"/>
        <v>1</v>
      </c>
      <c r="N68" s="88">
        <f t="shared" si="8"/>
        <v>1</v>
      </c>
      <c r="O68" s="88">
        <f t="shared" si="8"/>
        <v>1</v>
      </c>
      <c r="P68" s="88">
        <f t="shared" si="8"/>
        <v>0</v>
      </c>
      <c r="Q68" s="88">
        <f t="shared" si="8"/>
        <v>1</v>
      </c>
      <c r="R68" s="88">
        <f t="shared" si="8"/>
        <v>1</v>
      </c>
      <c r="S68" s="88">
        <f t="shared" si="8"/>
        <v>1</v>
      </c>
      <c r="T68" s="69"/>
      <c r="U68" s="69"/>
    </row>
    <row r="69" spans="6:23" x14ac:dyDescent="0.25">
      <c r="F69" t="s">
        <v>836</v>
      </c>
      <c r="G69" s="62" t="s">
        <v>191</v>
      </c>
      <c r="J69" s="88">
        <f t="shared" ref="J69:S69" si="9">IF(J$38 = "", J50, J50 * J$38)</f>
        <v>1</v>
      </c>
      <c r="K69" s="88">
        <f t="shared" si="9"/>
        <v>1</v>
      </c>
      <c r="L69" s="88">
        <f t="shared" si="9"/>
        <v>1</v>
      </c>
      <c r="M69" s="88">
        <f t="shared" si="9"/>
        <v>1</v>
      </c>
      <c r="N69" s="88">
        <f t="shared" si="9"/>
        <v>1</v>
      </c>
      <c r="O69" s="88">
        <f t="shared" si="9"/>
        <v>1</v>
      </c>
      <c r="P69" s="88">
        <f t="shared" si="9"/>
        <v>0</v>
      </c>
      <c r="Q69" s="88">
        <f t="shared" si="9"/>
        <v>1</v>
      </c>
      <c r="R69" s="88">
        <f t="shared" si="9"/>
        <v>1</v>
      </c>
      <c r="S69" s="88">
        <f t="shared" si="9"/>
        <v>1</v>
      </c>
      <c r="T69" s="69"/>
      <c r="U69" s="69"/>
    </row>
    <row r="70" spans="6:23" x14ac:dyDescent="0.25">
      <c r="F70" t="s">
        <v>837</v>
      </c>
      <c r="G70" s="62" t="s">
        <v>191</v>
      </c>
      <c r="J70" s="88">
        <f t="shared" ref="J70:S70" si="10">IF(J$38 = "", J51, J51 * J$38)</f>
        <v>1</v>
      </c>
      <c r="K70" s="88">
        <f t="shared" si="10"/>
        <v>1</v>
      </c>
      <c r="L70" s="88">
        <f t="shared" si="10"/>
        <v>1</v>
      </c>
      <c r="M70" s="88">
        <f t="shared" si="10"/>
        <v>1</v>
      </c>
      <c r="N70" s="88">
        <f t="shared" si="10"/>
        <v>1</v>
      </c>
      <c r="O70" s="88">
        <f t="shared" si="10"/>
        <v>1</v>
      </c>
      <c r="P70" s="88">
        <f t="shared" si="10"/>
        <v>0</v>
      </c>
      <c r="Q70" s="88">
        <f t="shared" si="10"/>
        <v>1</v>
      </c>
      <c r="R70" s="88">
        <f t="shared" si="10"/>
        <v>1</v>
      </c>
      <c r="S70" s="88">
        <f t="shared" si="10"/>
        <v>0</v>
      </c>
      <c r="T70" s="69"/>
      <c r="U70" s="69"/>
    </row>
    <row r="71" spans="6:23" x14ac:dyDescent="0.25">
      <c r="F71" t="s">
        <v>838</v>
      </c>
      <c r="G71" s="62" t="s">
        <v>191</v>
      </c>
      <c r="J71" s="88">
        <f t="shared" ref="J71:S71" si="11">IF(J$38 = "", J52, J52 * J$38)</f>
        <v>1</v>
      </c>
      <c r="K71" s="88">
        <f t="shared" si="11"/>
        <v>1</v>
      </c>
      <c r="L71" s="88">
        <f t="shared" si="11"/>
        <v>1</v>
      </c>
      <c r="M71" s="88">
        <f t="shared" si="11"/>
        <v>1</v>
      </c>
      <c r="N71" s="88">
        <f t="shared" si="11"/>
        <v>1</v>
      </c>
      <c r="O71" s="88">
        <f t="shared" si="11"/>
        <v>1</v>
      </c>
      <c r="P71" s="88">
        <f t="shared" si="11"/>
        <v>0</v>
      </c>
      <c r="Q71" s="88">
        <f t="shared" si="11"/>
        <v>1</v>
      </c>
      <c r="R71" s="88">
        <f t="shared" si="11"/>
        <v>0</v>
      </c>
      <c r="S71" s="88">
        <f t="shared" si="11"/>
        <v>0</v>
      </c>
      <c r="T71" s="69"/>
      <c r="U71" s="69"/>
    </row>
    <row r="72" spans="6:23" x14ac:dyDescent="0.25">
      <c r="F72" t="s">
        <v>839</v>
      </c>
      <c r="G72" s="62" t="s">
        <v>191</v>
      </c>
      <c r="J72" s="88">
        <f t="shared" ref="J72:S72" si="12">IF(J$38 = "", J53, J53 * J$38)</f>
        <v>1</v>
      </c>
      <c r="K72" s="88">
        <f t="shared" si="12"/>
        <v>1</v>
      </c>
      <c r="L72" s="88">
        <f t="shared" si="12"/>
        <v>1</v>
      </c>
      <c r="M72" s="88">
        <f t="shared" si="12"/>
        <v>1</v>
      </c>
      <c r="N72" s="88">
        <f t="shared" si="12"/>
        <v>1</v>
      </c>
      <c r="O72" s="88">
        <f t="shared" si="12"/>
        <v>1</v>
      </c>
      <c r="P72" s="88">
        <f t="shared" si="12"/>
        <v>0</v>
      </c>
      <c r="Q72" s="88">
        <f t="shared" si="12"/>
        <v>1</v>
      </c>
      <c r="R72" s="88">
        <f t="shared" si="12"/>
        <v>1</v>
      </c>
      <c r="S72" s="88">
        <f t="shared" si="12"/>
        <v>1</v>
      </c>
      <c r="T72" s="69"/>
      <c r="U72" s="69"/>
    </row>
    <row r="73" spans="6:23" x14ac:dyDescent="0.25">
      <c r="F73" t="s">
        <v>831</v>
      </c>
      <c r="G73" s="62" t="s">
        <v>191</v>
      </c>
      <c r="J73" s="88">
        <f t="shared" ref="J73:S73" si="13">IF(J$38 = "", J54, J54 * J$38)</f>
        <v>-1</v>
      </c>
      <c r="K73" s="88">
        <f t="shared" si="13"/>
        <v>-1</v>
      </c>
      <c r="L73" s="88">
        <f t="shared" si="13"/>
        <v>-1</v>
      </c>
      <c r="M73" s="88">
        <f t="shared" si="13"/>
        <v>-1</v>
      </c>
      <c r="N73" s="88">
        <f t="shared" si="13"/>
        <v>-1</v>
      </c>
      <c r="O73" s="88">
        <f t="shared" si="13"/>
        <v>-1</v>
      </c>
      <c r="P73" s="88">
        <f t="shared" si="13"/>
        <v>0</v>
      </c>
      <c r="Q73" s="88">
        <f t="shared" si="13"/>
        <v>-1</v>
      </c>
      <c r="R73" s="88">
        <f t="shared" si="13"/>
        <v>-1</v>
      </c>
      <c r="S73" s="88">
        <f t="shared" si="13"/>
        <v>-1</v>
      </c>
      <c r="T73" s="69"/>
      <c r="U73" s="69"/>
    </row>
    <row r="74" spans="6:23" x14ac:dyDescent="0.25">
      <c r="F74" t="s">
        <v>832</v>
      </c>
      <c r="G74" s="62" t="s">
        <v>191</v>
      </c>
      <c r="J74" s="88">
        <f t="shared" ref="J74:S74" si="14">IF(J$38 = "", J55, J55 * J$38)</f>
        <v>-1</v>
      </c>
      <c r="K74" s="88">
        <f t="shared" si="14"/>
        <v>-1</v>
      </c>
      <c r="L74" s="88">
        <f t="shared" si="14"/>
        <v>-1</v>
      </c>
      <c r="M74" s="88">
        <f t="shared" si="14"/>
        <v>-1</v>
      </c>
      <c r="N74" s="88">
        <f t="shared" si="14"/>
        <v>-1</v>
      </c>
      <c r="O74" s="88">
        <f t="shared" si="14"/>
        <v>-1</v>
      </c>
      <c r="P74" s="88">
        <f t="shared" si="14"/>
        <v>0</v>
      </c>
      <c r="Q74" s="88">
        <f t="shared" si="14"/>
        <v>-1</v>
      </c>
      <c r="R74" s="88">
        <f t="shared" si="14"/>
        <v>-1</v>
      </c>
      <c r="S74" s="88">
        <f t="shared" si="14"/>
        <v>0</v>
      </c>
      <c r="T74" s="69"/>
      <c r="U74" s="69"/>
    </row>
    <row r="75" spans="6:23" x14ac:dyDescent="0.25">
      <c r="F75" t="s">
        <v>833</v>
      </c>
      <c r="G75" s="62" t="s">
        <v>191</v>
      </c>
      <c r="J75" s="88">
        <f t="shared" ref="J75:S75" si="15">IF(J$38 = "", J56, J56 * J$38)</f>
        <v>-1</v>
      </c>
      <c r="K75" s="88">
        <f t="shared" si="15"/>
        <v>-1</v>
      </c>
      <c r="L75" s="88">
        <f t="shared" si="15"/>
        <v>-1</v>
      </c>
      <c r="M75" s="88">
        <f t="shared" si="15"/>
        <v>-1</v>
      </c>
      <c r="N75" s="88">
        <f t="shared" si="15"/>
        <v>-1</v>
      </c>
      <c r="O75" s="88">
        <f t="shared" si="15"/>
        <v>-1</v>
      </c>
      <c r="P75" s="88">
        <f t="shared" si="15"/>
        <v>0</v>
      </c>
      <c r="Q75" s="88">
        <f t="shared" si="15"/>
        <v>-1</v>
      </c>
      <c r="R75" s="88">
        <f t="shared" si="15"/>
        <v>-1</v>
      </c>
      <c r="S75" s="88">
        <f t="shared" si="15"/>
        <v>-1</v>
      </c>
      <c r="T75" s="69"/>
      <c r="U75" s="69"/>
    </row>
    <row r="76" spans="6:23" x14ac:dyDescent="0.25">
      <c r="F76" t="s">
        <v>842</v>
      </c>
      <c r="G76" s="62" t="s">
        <v>191</v>
      </c>
      <c r="J76" s="88">
        <f t="shared" ref="J76:S76" si="16">IF(J$38 = "", J57, J57 * J$38)</f>
        <v>-1</v>
      </c>
      <c r="K76" s="88">
        <f t="shared" si="16"/>
        <v>-1</v>
      </c>
      <c r="L76" s="88">
        <f t="shared" si="16"/>
        <v>-1</v>
      </c>
      <c r="M76" s="88">
        <f t="shared" si="16"/>
        <v>-1</v>
      </c>
      <c r="N76" s="88">
        <f t="shared" si="16"/>
        <v>-1</v>
      </c>
      <c r="O76" s="88">
        <f t="shared" si="16"/>
        <v>-1</v>
      </c>
      <c r="P76" s="88">
        <f t="shared" si="16"/>
        <v>0</v>
      </c>
      <c r="Q76" s="88">
        <f t="shared" si="16"/>
        <v>-1</v>
      </c>
      <c r="R76" s="88">
        <f t="shared" si="16"/>
        <v>-1</v>
      </c>
      <c r="S76" s="88">
        <f t="shared" si="16"/>
        <v>-1</v>
      </c>
      <c r="T76" s="69"/>
      <c r="U76" s="69"/>
    </row>
    <row r="77" spans="6:23" x14ac:dyDescent="0.25">
      <c r="F77" t="s">
        <v>834</v>
      </c>
      <c r="G77" s="62" t="s">
        <v>191</v>
      </c>
      <c r="J77" s="88">
        <f t="shared" ref="J77:S77" si="17">IF(J$38 = "", J58, J58 * J$38)</f>
        <v>-1</v>
      </c>
      <c r="K77" s="88">
        <f t="shared" si="17"/>
        <v>-1</v>
      </c>
      <c r="L77" s="88">
        <f t="shared" si="17"/>
        <v>-1</v>
      </c>
      <c r="M77" s="88">
        <f t="shared" si="17"/>
        <v>-1</v>
      </c>
      <c r="N77" s="88">
        <f t="shared" si="17"/>
        <v>-1</v>
      </c>
      <c r="O77" s="88">
        <f t="shared" si="17"/>
        <v>-1</v>
      </c>
      <c r="P77" s="88">
        <f t="shared" si="17"/>
        <v>0</v>
      </c>
      <c r="Q77" s="88">
        <f t="shared" si="17"/>
        <v>-1</v>
      </c>
      <c r="R77" s="88">
        <f t="shared" si="17"/>
        <v>-1</v>
      </c>
      <c r="S77" s="88">
        <f t="shared" si="17"/>
        <v>0</v>
      </c>
      <c r="T77" s="69"/>
      <c r="U77" s="69"/>
    </row>
    <row r="78" spans="6:23" x14ac:dyDescent="0.25">
      <c r="F78" t="s">
        <v>841</v>
      </c>
      <c r="G78" s="62" t="s">
        <v>191</v>
      </c>
      <c r="J78" s="88">
        <f t="shared" ref="J78:S78" si="18">IF(J$38 = "", J59, J59 * J$38)</f>
        <v>-1</v>
      </c>
      <c r="K78" s="88">
        <f t="shared" si="18"/>
        <v>-1</v>
      </c>
      <c r="L78" s="88">
        <f t="shared" si="18"/>
        <v>-1</v>
      </c>
      <c r="M78" s="88">
        <f t="shared" si="18"/>
        <v>-1</v>
      </c>
      <c r="N78" s="88">
        <f t="shared" si="18"/>
        <v>-1</v>
      </c>
      <c r="O78" s="88">
        <f t="shared" si="18"/>
        <v>-1</v>
      </c>
      <c r="P78" s="88">
        <f t="shared" si="18"/>
        <v>0</v>
      </c>
      <c r="Q78" s="88">
        <f t="shared" si="18"/>
        <v>-1</v>
      </c>
      <c r="R78" s="88">
        <f t="shared" si="18"/>
        <v>-1</v>
      </c>
      <c r="S78" s="88">
        <f t="shared" si="18"/>
        <v>0</v>
      </c>
      <c r="T78" s="69"/>
      <c r="U78" s="69"/>
    </row>
    <row r="79" spans="6:23" x14ac:dyDescent="0.25">
      <c r="F79" t="s">
        <v>835</v>
      </c>
      <c r="G79" s="62" t="s">
        <v>191</v>
      </c>
      <c r="J79" s="88">
        <f t="shared" ref="J79:S79" si="19">IF(J$38 = "", J60, J60 * J$38)</f>
        <v>-1</v>
      </c>
      <c r="K79" s="88">
        <f t="shared" si="19"/>
        <v>-1</v>
      </c>
      <c r="L79" s="88">
        <f t="shared" si="19"/>
        <v>-1</v>
      </c>
      <c r="M79" s="88">
        <f t="shared" si="19"/>
        <v>-1</v>
      </c>
      <c r="N79" s="88">
        <f t="shared" si="19"/>
        <v>-1</v>
      </c>
      <c r="O79" s="88">
        <f t="shared" si="19"/>
        <v>-1</v>
      </c>
      <c r="P79" s="88">
        <f t="shared" si="19"/>
        <v>0</v>
      </c>
      <c r="Q79" s="88">
        <f t="shared" si="19"/>
        <v>-1</v>
      </c>
      <c r="R79" s="88">
        <f t="shared" si="19"/>
        <v>0</v>
      </c>
      <c r="S79" s="88">
        <f t="shared" si="19"/>
        <v>0</v>
      </c>
      <c r="T79" s="69"/>
      <c r="U79" s="69"/>
    </row>
    <row r="80" spans="6:23" x14ac:dyDescent="0.25">
      <c r="F80" s="28" t="s">
        <v>840</v>
      </c>
      <c r="G80" s="70" t="s">
        <v>191</v>
      </c>
      <c r="H80" s="28"/>
      <c r="I80" s="28"/>
      <c r="J80" s="90">
        <f t="shared" ref="J80:S80" si="20">IF(J$38 = "", J61, J61 * J$38)</f>
        <v>-1</v>
      </c>
      <c r="K80" s="90">
        <f t="shared" si="20"/>
        <v>-1</v>
      </c>
      <c r="L80" s="90">
        <f t="shared" si="20"/>
        <v>-1</v>
      </c>
      <c r="M80" s="90">
        <f t="shared" si="20"/>
        <v>-1</v>
      </c>
      <c r="N80" s="90">
        <f t="shared" si="20"/>
        <v>-1</v>
      </c>
      <c r="O80" s="90">
        <f t="shared" si="20"/>
        <v>-1</v>
      </c>
      <c r="P80" s="90">
        <f t="shared" si="20"/>
        <v>0</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201</v>
      </c>
      <c r="G82" s="12"/>
      <c r="I82" t="s">
        <v>155</v>
      </c>
      <c r="J82" s="79"/>
      <c r="K82" s="79"/>
      <c r="L82" s="79"/>
      <c r="M82" s="79"/>
      <c r="N82" s="79"/>
      <c r="O82" s="79"/>
      <c r="P82" s="79"/>
      <c r="Q82" s="79"/>
      <c r="R82" s="79"/>
      <c r="S82" s="79"/>
      <c r="T82" s="79"/>
      <c r="U82" s="79"/>
      <c r="W82" s="3" t="s">
        <v>401</v>
      </c>
    </row>
    <row r="83" spans="5:23" x14ac:dyDescent="0.25">
      <c r="E83" s="24" t="s">
        <v>203</v>
      </c>
      <c r="G83" s="12"/>
      <c r="J83" s="79"/>
      <c r="K83" s="79"/>
      <c r="L83" s="79"/>
      <c r="M83" s="79"/>
      <c r="N83" s="79"/>
      <c r="O83" s="79"/>
      <c r="P83" s="79"/>
      <c r="Q83" s="79"/>
      <c r="R83" s="79"/>
      <c r="S83" s="79"/>
      <c r="T83" s="79"/>
      <c r="U83" s="79"/>
    </row>
    <row r="84" spans="5:23" x14ac:dyDescent="0.25">
      <c r="F84" s="19" t="s">
        <v>827</v>
      </c>
      <c r="G84" s="68" t="s">
        <v>177</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177</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177</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177</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177</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177</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177</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177</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177</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177</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177</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177</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177</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177</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177</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177</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155</v>
      </c>
      <c r="J101" s="79"/>
      <c r="K101" s="79"/>
      <c r="L101" s="79"/>
      <c r="M101" s="79"/>
      <c r="N101" s="79"/>
      <c r="O101" s="79"/>
      <c r="P101" s="79"/>
      <c r="Q101" s="79"/>
      <c r="R101" s="79"/>
      <c r="S101" s="79"/>
      <c r="T101" s="79"/>
      <c r="U101" s="79"/>
      <c r="W101" s="3" t="s">
        <v>401</v>
      </c>
    </row>
    <row r="102" spans="5:23" x14ac:dyDescent="0.25">
      <c r="E102" s="24" t="s">
        <v>203</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177</v>
      </c>
      <c r="H104" s="19"/>
      <c r="I104" s="19"/>
      <c r="J104" s="116">
        <f t="shared" ref="J104:S104" si="21">IF(J$38 = "", J84, J84 * J$38)</f>
        <v>1</v>
      </c>
      <c r="K104" s="116">
        <f t="shared" si="21"/>
        <v>1</v>
      </c>
      <c r="L104" s="116">
        <f t="shared" si="21"/>
        <v>1</v>
      </c>
      <c r="M104" s="116">
        <f t="shared" si="21"/>
        <v>1</v>
      </c>
      <c r="N104" s="116">
        <f t="shared" si="21"/>
        <v>1</v>
      </c>
      <c r="O104" s="116">
        <f t="shared" si="21"/>
        <v>1</v>
      </c>
      <c r="P104" s="116">
        <f t="shared" si="21"/>
        <v>0</v>
      </c>
      <c r="Q104" s="116">
        <f t="shared" si="21"/>
        <v>1</v>
      </c>
      <c r="R104" s="116">
        <f t="shared" si="21"/>
        <v>1</v>
      </c>
      <c r="S104" s="116">
        <f t="shared" si="21"/>
        <v>1</v>
      </c>
      <c r="T104" s="73"/>
      <c r="U104" s="73"/>
    </row>
    <row r="105" spans="5:23" x14ac:dyDescent="0.25">
      <c r="F105" t="s">
        <v>829</v>
      </c>
      <c r="G105" s="62" t="s">
        <v>177</v>
      </c>
      <c r="J105" s="88">
        <f t="shared" ref="J105:S105" si="22">IF(J$38 = "", J85, J85 * J$38)</f>
        <v>1</v>
      </c>
      <c r="K105" s="88">
        <f t="shared" si="22"/>
        <v>1</v>
      </c>
      <c r="L105" s="88">
        <f t="shared" si="22"/>
        <v>1</v>
      </c>
      <c r="M105" s="88">
        <f t="shared" si="22"/>
        <v>1</v>
      </c>
      <c r="N105" s="88">
        <f t="shared" si="22"/>
        <v>1</v>
      </c>
      <c r="O105" s="88">
        <f t="shared" si="22"/>
        <v>1</v>
      </c>
      <c r="P105" s="88">
        <f t="shared" si="22"/>
        <v>0</v>
      </c>
      <c r="Q105" s="88">
        <f t="shared" si="22"/>
        <v>1</v>
      </c>
      <c r="R105" s="88">
        <f t="shared" si="22"/>
        <v>1</v>
      </c>
      <c r="S105" s="88">
        <f t="shared" si="22"/>
        <v>1</v>
      </c>
      <c r="T105" s="69"/>
      <c r="U105" s="69"/>
    </row>
    <row r="106" spans="5:23" x14ac:dyDescent="0.25">
      <c r="F106" t="s">
        <v>828</v>
      </c>
      <c r="G106" s="62" t="s">
        <v>177</v>
      </c>
      <c r="J106" s="88">
        <f t="shared" ref="J106:S106" si="23">IF(J$38 = "", J86, J86 * J$38)</f>
        <v>1</v>
      </c>
      <c r="K106" s="88">
        <f t="shared" si="23"/>
        <v>1</v>
      </c>
      <c r="L106" s="88">
        <f t="shared" si="23"/>
        <v>1</v>
      </c>
      <c r="M106" s="88">
        <f t="shared" si="23"/>
        <v>1</v>
      </c>
      <c r="N106" s="88">
        <f t="shared" si="23"/>
        <v>1</v>
      </c>
      <c r="O106" s="88">
        <f t="shared" si="23"/>
        <v>1</v>
      </c>
      <c r="P106" s="88">
        <f t="shared" si="23"/>
        <v>0</v>
      </c>
      <c r="Q106" s="88">
        <f t="shared" si="23"/>
        <v>1</v>
      </c>
      <c r="R106" s="88">
        <f t="shared" si="23"/>
        <v>1</v>
      </c>
      <c r="S106" s="88">
        <f t="shared" si="23"/>
        <v>1</v>
      </c>
      <c r="T106" s="69"/>
      <c r="U106" s="69"/>
    </row>
    <row r="107" spans="5:23" x14ac:dyDescent="0.25">
      <c r="F107" t="s">
        <v>830</v>
      </c>
      <c r="G107" s="62" t="s">
        <v>177</v>
      </c>
      <c r="J107" s="88">
        <f t="shared" ref="J107:S107" si="24">IF(J$38 = "", J87, J87 * J$38)</f>
        <v>1</v>
      </c>
      <c r="K107" s="88">
        <f t="shared" si="24"/>
        <v>1</v>
      </c>
      <c r="L107" s="88">
        <f t="shared" si="24"/>
        <v>1</v>
      </c>
      <c r="M107" s="88">
        <f t="shared" si="24"/>
        <v>1</v>
      </c>
      <c r="N107" s="88">
        <f t="shared" si="24"/>
        <v>1</v>
      </c>
      <c r="O107" s="88">
        <f t="shared" si="24"/>
        <v>1</v>
      </c>
      <c r="P107" s="88">
        <f t="shared" si="24"/>
        <v>0</v>
      </c>
      <c r="Q107" s="88">
        <f t="shared" si="24"/>
        <v>1</v>
      </c>
      <c r="R107" s="88">
        <f t="shared" si="24"/>
        <v>1</v>
      </c>
      <c r="S107" s="88">
        <f t="shared" si="24"/>
        <v>1</v>
      </c>
      <c r="T107" s="69"/>
      <c r="U107" s="69"/>
    </row>
    <row r="108" spans="5:23" x14ac:dyDescent="0.25">
      <c r="F108" t="s">
        <v>836</v>
      </c>
      <c r="G108" s="62" t="s">
        <v>177</v>
      </c>
      <c r="J108" s="88">
        <f t="shared" ref="J108:S108" si="25">IF(J$38 = "", J88, J88 * J$38)</f>
        <v>1</v>
      </c>
      <c r="K108" s="88">
        <f t="shared" si="25"/>
        <v>1</v>
      </c>
      <c r="L108" s="88">
        <f t="shared" si="25"/>
        <v>1</v>
      </c>
      <c r="M108" s="88">
        <f t="shared" si="25"/>
        <v>1</v>
      </c>
      <c r="N108" s="88">
        <f t="shared" si="25"/>
        <v>1</v>
      </c>
      <c r="O108" s="88">
        <f t="shared" si="25"/>
        <v>1</v>
      </c>
      <c r="P108" s="88">
        <f t="shared" si="25"/>
        <v>0</v>
      </c>
      <c r="Q108" s="88">
        <f t="shared" si="25"/>
        <v>1</v>
      </c>
      <c r="R108" s="88">
        <f t="shared" si="25"/>
        <v>1</v>
      </c>
      <c r="S108" s="88">
        <f t="shared" si="25"/>
        <v>1</v>
      </c>
      <c r="T108" s="69"/>
      <c r="U108" s="69"/>
    </row>
    <row r="109" spans="5:23" x14ac:dyDescent="0.25">
      <c r="F109" t="s">
        <v>837</v>
      </c>
      <c r="G109" s="62" t="s">
        <v>177</v>
      </c>
      <c r="J109" s="88">
        <f t="shared" ref="J109:S109" si="26">IF(J$38 = "", J89, J89 * J$38)</f>
        <v>1</v>
      </c>
      <c r="K109" s="88">
        <f t="shared" si="26"/>
        <v>1</v>
      </c>
      <c r="L109" s="88">
        <f t="shared" si="26"/>
        <v>1</v>
      </c>
      <c r="M109" s="88">
        <f t="shared" si="26"/>
        <v>1</v>
      </c>
      <c r="N109" s="88">
        <f t="shared" si="26"/>
        <v>1</v>
      </c>
      <c r="O109" s="88">
        <f t="shared" si="26"/>
        <v>1</v>
      </c>
      <c r="P109" s="88">
        <f t="shared" si="26"/>
        <v>0</v>
      </c>
      <c r="Q109" s="88">
        <f t="shared" si="26"/>
        <v>1</v>
      </c>
      <c r="R109" s="88">
        <f t="shared" si="26"/>
        <v>1</v>
      </c>
      <c r="S109" s="88">
        <f t="shared" si="26"/>
        <v>0</v>
      </c>
      <c r="T109" s="69"/>
      <c r="U109" s="69"/>
    </row>
    <row r="110" spans="5:23" x14ac:dyDescent="0.25">
      <c r="F110" t="s">
        <v>838</v>
      </c>
      <c r="G110" s="62" t="s">
        <v>177</v>
      </c>
      <c r="J110" s="88">
        <f t="shared" ref="J110:S110" si="27">IF(J$38 = "", J90, J90 * J$38)</f>
        <v>1</v>
      </c>
      <c r="K110" s="88">
        <f t="shared" si="27"/>
        <v>1</v>
      </c>
      <c r="L110" s="88">
        <f t="shared" si="27"/>
        <v>1</v>
      </c>
      <c r="M110" s="88">
        <f t="shared" si="27"/>
        <v>1</v>
      </c>
      <c r="N110" s="88">
        <f t="shared" si="27"/>
        <v>1</v>
      </c>
      <c r="O110" s="88">
        <f t="shared" si="27"/>
        <v>1</v>
      </c>
      <c r="P110" s="88">
        <f t="shared" si="27"/>
        <v>0</v>
      </c>
      <c r="Q110" s="88">
        <f t="shared" si="27"/>
        <v>1</v>
      </c>
      <c r="R110" s="88">
        <f t="shared" si="27"/>
        <v>0</v>
      </c>
      <c r="S110" s="88">
        <f t="shared" si="27"/>
        <v>0</v>
      </c>
      <c r="T110" s="69"/>
      <c r="U110" s="69"/>
    </row>
    <row r="111" spans="5:23" x14ac:dyDescent="0.25">
      <c r="F111" t="s">
        <v>839</v>
      </c>
      <c r="G111" s="62" t="s">
        <v>177</v>
      </c>
      <c r="J111" s="88">
        <f t="shared" ref="J111:S111" si="28">IF(J$38 = "", J91, J91 * J$38)</f>
        <v>1</v>
      </c>
      <c r="K111" s="88">
        <f t="shared" si="28"/>
        <v>1</v>
      </c>
      <c r="L111" s="88">
        <f t="shared" si="28"/>
        <v>1</v>
      </c>
      <c r="M111" s="88">
        <f t="shared" si="28"/>
        <v>1</v>
      </c>
      <c r="N111" s="88">
        <f t="shared" si="28"/>
        <v>1</v>
      </c>
      <c r="O111" s="88">
        <f t="shared" si="28"/>
        <v>1</v>
      </c>
      <c r="P111" s="88">
        <f t="shared" si="28"/>
        <v>0</v>
      </c>
      <c r="Q111" s="88">
        <f t="shared" si="28"/>
        <v>1</v>
      </c>
      <c r="R111" s="88">
        <f t="shared" si="28"/>
        <v>1</v>
      </c>
      <c r="S111" s="88">
        <f t="shared" si="28"/>
        <v>1</v>
      </c>
      <c r="T111" s="69"/>
      <c r="U111" s="69"/>
    </row>
    <row r="112" spans="5:23" x14ac:dyDescent="0.25">
      <c r="F112" t="s">
        <v>831</v>
      </c>
      <c r="G112" s="62" t="s">
        <v>177</v>
      </c>
      <c r="J112" s="88">
        <f t="shared" ref="J112:S112" si="29">IF(J$38 = "", J92, J92 * J$38)</f>
        <v>-1</v>
      </c>
      <c r="K112" s="88">
        <f t="shared" si="29"/>
        <v>-1</v>
      </c>
      <c r="L112" s="88">
        <f t="shared" si="29"/>
        <v>-1</v>
      </c>
      <c r="M112" s="88">
        <f t="shared" si="29"/>
        <v>-1</v>
      </c>
      <c r="N112" s="88">
        <f t="shared" si="29"/>
        <v>-1</v>
      </c>
      <c r="O112" s="88">
        <f t="shared" si="29"/>
        <v>-1</v>
      </c>
      <c r="P112" s="88">
        <f t="shared" si="29"/>
        <v>0</v>
      </c>
      <c r="Q112" s="88">
        <f t="shared" si="29"/>
        <v>-1</v>
      </c>
      <c r="R112" s="88">
        <f t="shared" si="29"/>
        <v>-1</v>
      </c>
      <c r="S112" s="88">
        <f t="shared" si="29"/>
        <v>0</v>
      </c>
      <c r="T112" s="69"/>
      <c r="U112" s="69"/>
    </row>
    <row r="113" spans="3:23" x14ac:dyDescent="0.25">
      <c r="F113" t="s">
        <v>832</v>
      </c>
      <c r="G113" s="62" t="s">
        <v>177</v>
      </c>
      <c r="J113" s="88">
        <f t="shared" ref="J113:S113" si="30">IF(J$38 = "", J93, J93 * J$38)</f>
        <v>-1</v>
      </c>
      <c r="K113" s="88">
        <f t="shared" si="30"/>
        <v>-1</v>
      </c>
      <c r="L113" s="88">
        <f t="shared" si="30"/>
        <v>-1</v>
      </c>
      <c r="M113" s="88">
        <f t="shared" si="30"/>
        <v>-1</v>
      </c>
      <c r="N113" s="88">
        <f t="shared" si="30"/>
        <v>-1</v>
      </c>
      <c r="O113" s="88">
        <f t="shared" si="30"/>
        <v>-1</v>
      </c>
      <c r="P113" s="88">
        <f t="shared" si="30"/>
        <v>0</v>
      </c>
      <c r="Q113" s="88">
        <f t="shared" si="30"/>
        <v>-1</v>
      </c>
      <c r="R113" s="88">
        <f t="shared" si="30"/>
        <v>0</v>
      </c>
      <c r="S113" s="88">
        <f t="shared" si="30"/>
        <v>0</v>
      </c>
      <c r="T113" s="69"/>
      <c r="U113" s="69"/>
    </row>
    <row r="114" spans="3:23" x14ac:dyDescent="0.25">
      <c r="F114" t="s">
        <v>833</v>
      </c>
      <c r="G114" s="62" t="s">
        <v>177</v>
      </c>
      <c r="J114" s="88">
        <f t="shared" ref="J114:S114" si="31">IF(J$38 = "", J94, J94 * J$38)</f>
        <v>-1</v>
      </c>
      <c r="K114" s="88">
        <f t="shared" si="31"/>
        <v>-1</v>
      </c>
      <c r="L114" s="88">
        <f t="shared" si="31"/>
        <v>-1</v>
      </c>
      <c r="M114" s="88">
        <f t="shared" si="31"/>
        <v>-1</v>
      </c>
      <c r="N114" s="88">
        <f t="shared" si="31"/>
        <v>-1</v>
      </c>
      <c r="O114" s="88">
        <f t="shared" si="31"/>
        <v>-1</v>
      </c>
      <c r="P114" s="88">
        <f t="shared" si="31"/>
        <v>0</v>
      </c>
      <c r="Q114" s="88">
        <f t="shared" si="31"/>
        <v>-1</v>
      </c>
      <c r="R114" s="88">
        <f t="shared" si="31"/>
        <v>-1</v>
      </c>
      <c r="S114" s="88">
        <f t="shared" si="31"/>
        <v>0</v>
      </c>
      <c r="T114" s="69"/>
      <c r="U114" s="69"/>
    </row>
    <row r="115" spans="3:23" x14ac:dyDescent="0.25">
      <c r="F115" t="s">
        <v>842</v>
      </c>
      <c r="G115" s="62" t="s">
        <v>177</v>
      </c>
      <c r="J115" s="88">
        <f t="shared" ref="J115:S115" si="32">IF(J$38 = "", J95, J95 * J$38)</f>
        <v>-1</v>
      </c>
      <c r="K115" s="88">
        <f t="shared" si="32"/>
        <v>-1</v>
      </c>
      <c r="L115" s="88">
        <f t="shared" si="32"/>
        <v>-1</v>
      </c>
      <c r="M115" s="88">
        <f t="shared" si="32"/>
        <v>-1</v>
      </c>
      <c r="N115" s="88">
        <f t="shared" si="32"/>
        <v>-1</v>
      </c>
      <c r="O115" s="88">
        <f t="shared" si="32"/>
        <v>-1</v>
      </c>
      <c r="P115" s="88">
        <f t="shared" si="32"/>
        <v>0</v>
      </c>
      <c r="Q115" s="88">
        <f t="shared" si="32"/>
        <v>-1</v>
      </c>
      <c r="R115" s="88">
        <f t="shared" si="32"/>
        <v>-1</v>
      </c>
      <c r="S115" s="88">
        <f t="shared" si="32"/>
        <v>0</v>
      </c>
      <c r="T115" s="69"/>
      <c r="U115" s="69"/>
    </row>
    <row r="116" spans="3:23" x14ac:dyDescent="0.25">
      <c r="F116" t="s">
        <v>834</v>
      </c>
      <c r="G116" s="62" t="s">
        <v>177</v>
      </c>
      <c r="J116" s="88">
        <f t="shared" ref="J116:S116" si="33">IF(J$38 = "", J96, J96 * J$38)</f>
        <v>-1</v>
      </c>
      <c r="K116" s="88">
        <f t="shared" si="33"/>
        <v>-1</v>
      </c>
      <c r="L116" s="88">
        <f t="shared" si="33"/>
        <v>-1</v>
      </c>
      <c r="M116" s="88">
        <f t="shared" si="33"/>
        <v>-1</v>
      </c>
      <c r="N116" s="88">
        <f t="shared" si="33"/>
        <v>-1</v>
      </c>
      <c r="O116" s="88">
        <f t="shared" si="33"/>
        <v>-1</v>
      </c>
      <c r="P116" s="88">
        <f t="shared" si="33"/>
        <v>0</v>
      </c>
      <c r="Q116" s="88">
        <f t="shared" si="33"/>
        <v>-1</v>
      </c>
      <c r="R116" s="88">
        <f t="shared" si="33"/>
        <v>0</v>
      </c>
      <c r="S116" s="88">
        <f t="shared" si="33"/>
        <v>0</v>
      </c>
      <c r="T116" s="69"/>
      <c r="U116" s="69"/>
    </row>
    <row r="117" spans="3:23" x14ac:dyDescent="0.25">
      <c r="F117" t="s">
        <v>841</v>
      </c>
      <c r="G117" s="62" t="s">
        <v>177</v>
      </c>
      <c r="J117" s="88">
        <f t="shared" ref="J117:S117" si="34">IF(J$38 = "", J97, J97 * J$38)</f>
        <v>-1</v>
      </c>
      <c r="K117" s="88">
        <f t="shared" si="34"/>
        <v>-1</v>
      </c>
      <c r="L117" s="88">
        <f t="shared" si="34"/>
        <v>-1</v>
      </c>
      <c r="M117" s="88">
        <f t="shared" si="34"/>
        <v>-1</v>
      </c>
      <c r="N117" s="88">
        <f t="shared" si="34"/>
        <v>-1</v>
      </c>
      <c r="O117" s="88">
        <f t="shared" si="34"/>
        <v>-1</v>
      </c>
      <c r="P117" s="88">
        <f t="shared" si="34"/>
        <v>0</v>
      </c>
      <c r="Q117" s="88">
        <f t="shared" si="34"/>
        <v>-1</v>
      </c>
      <c r="R117" s="88">
        <f t="shared" si="34"/>
        <v>0</v>
      </c>
      <c r="S117" s="88">
        <f t="shared" si="34"/>
        <v>0</v>
      </c>
      <c r="T117" s="69"/>
      <c r="U117" s="69"/>
    </row>
    <row r="118" spans="3:23" x14ac:dyDescent="0.25">
      <c r="F118" t="s">
        <v>835</v>
      </c>
      <c r="G118" s="62" t="s">
        <v>177</v>
      </c>
      <c r="J118" s="88">
        <f t="shared" ref="J118:S118" si="35">IF(J$38 = "", J98, J98 * J$38)</f>
        <v>-1</v>
      </c>
      <c r="K118" s="88">
        <f t="shared" si="35"/>
        <v>-1</v>
      </c>
      <c r="L118" s="88">
        <f t="shared" si="35"/>
        <v>-1</v>
      </c>
      <c r="M118" s="88">
        <f t="shared" si="35"/>
        <v>-1</v>
      </c>
      <c r="N118" s="88">
        <f t="shared" si="35"/>
        <v>-1</v>
      </c>
      <c r="O118" s="88">
        <f t="shared" si="35"/>
        <v>-1</v>
      </c>
      <c r="P118" s="88">
        <f t="shared" si="35"/>
        <v>0</v>
      </c>
      <c r="Q118" s="88">
        <f t="shared" si="35"/>
        <v>0</v>
      </c>
      <c r="R118" s="88">
        <f t="shared" si="35"/>
        <v>0</v>
      </c>
      <c r="S118" s="88">
        <f t="shared" si="35"/>
        <v>0</v>
      </c>
      <c r="T118" s="69"/>
      <c r="U118" s="69"/>
    </row>
    <row r="119" spans="3:23" x14ac:dyDescent="0.25">
      <c r="F119" s="28" t="s">
        <v>840</v>
      </c>
      <c r="G119" s="70" t="s">
        <v>177</v>
      </c>
      <c r="H119" s="28"/>
      <c r="I119" s="28"/>
      <c r="J119" s="90">
        <f t="shared" ref="J119:S119" si="36">IF(J$38 = "", J99, J99 * J$38)</f>
        <v>-1</v>
      </c>
      <c r="K119" s="90">
        <f t="shared" si="36"/>
        <v>-1</v>
      </c>
      <c r="L119" s="90">
        <f t="shared" si="36"/>
        <v>-1</v>
      </c>
      <c r="M119" s="90">
        <f t="shared" si="36"/>
        <v>-1</v>
      </c>
      <c r="N119" s="90">
        <f t="shared" si="36"/>
        <v>-1</v>
      </c>
      <c r="O119" s="90">
        <f t="shared" si="36"/>
        <v>-1</v>
      </c>
      <c r="P119" s="90">
        <f t="shared" si="36"/>
        <v>0</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284</v>
      </c>
      <c r="H126" s="116">
        <f t="shared" ref="H126:H141" si="37">MAX(J126:S126)</f>
        <v>1.0580000000000001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1.0580000000000001</v>
      </c>
      <c r="T126" s="73"/>
      <c r="U126" s="73"/>
      <c r="W126" s="3"/>
    </row>
    <row r="127" spans="3:23" x14ac:dyDescent="0.25">
      <c r="F127" t="s">
        <v>829</v>
      </c>
      <c r="G127" s="62" t="s">
        <v>284</v>
      </c>
      <c r="H127" s="88">
        <f t="shared" si="37"/>
        <v>1.0580000000000001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1.0580000000000001</v>
      </c>
      <c r="T127" s="69"/>
      <c r="U127" s="69"/>
      <c r="W127" s="3"/>
    </row>
    <row r="128" spans="3:23" x14ac:dyDescent="0.25">
      <c r="F128" t="s">
        <v>828</v>
      </c>
      <c r="G128" s="62" t="s">
        <v>284</v>
      </c>
      <c r="H128" s="88">
        <f t="shared" si="37"/>
        <v>1.0580000000000001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1.0580000000000001</v>
      </c>
      <c r="T128" s="69"/>
      <c r="U128" s="69"/>
      <c r="W128" s="3"/>
    </row>
    <row r="129" spans="5:23" x14ac:dyDescent="0.25">
      <c r="F129" t="s">
        <v>830</v>
      </c>
      <c r="G129" s="62" t="s">
        <v>284</v>
      </c>
      <c r="H129" s="88">
        <f t="shared" si="37"/>
        <v>1.0580000000000001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1.0580000000000001</v>
      </c>
      <c r="T129" s="69"/>
      <c r="U129" s="69"/>
    </row>
    <row r="130" spans="5:23" x14ac:dyDescent="0.25">
      <c r="F130" t="s">
        <v>836</v>
      </c>
      <c r="G130" s="62" t="s">
        <v>284</v>
      </c>
      <c r="H130" s="88">
        <f t="shared" si="37"/>
        <v>1.0580000000000001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1.0580000000000001</v>
      </c>
      <c r="T130" s="69"/>
      <c r="U130" s="69"/>
    </row>
    <row r="131" spans="5:23" x14ac:dyDescent="0.25">
      <c r="F131" t="s">
        <v>837</v>
      </c>
      <c r="G131" s="62" t="s">
        <v>284</v>
      </c>
      <c r="H131" s="88">
        <f t="shared" si="37"/>
        <v>1.0429999999999999</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1.0429999999999999</v>
      </c>
      <c r="S131" s="88">
        <f>OR(SUM(S70:$S70) = 1, SUM(S70:$S70) = -1) * S$29</f>
        <v>0</v>
      </c>
      <c r="T131" s="69"/>
      <c r="U131" s="69"/>
    </row>
    <row r="132" spans="5:23" x14ac:dyDescent="0.25">
      <c r="F132" t="s">
        <v>838</v>
      </c>
      <c r="G132" s="62" t="s">
        <v>284</v>
      </c>
      <c r="H132" s="88">
        <f t="shared" si="37"/>
        <v>1.0309999999999999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1.014</v>
      </c>
      <c r="Q132" s="88">
        <f>OR(SUM(Q71:$S71) = 1, SUM(Q71:$S71) = -1) * Q$29</f>
        <v>1.0309999999999999</v>
      </c>
      <c r="R132" s="88">
        <f>OR(SUM(R71:$S71) = 1, SUM(R71:$S71) = -1) * R$29</f>
        <v>0</v>
      </c>
      <c r="S132" s="88">
        <f>OR(SUM(S71:$S71) = 1, SUM(S71:$S71) = -1) * S$29</f>
        <v>0</v>
      </c>
      <c r="T132" s="69"/>
      <c r="U132" s="69"/>
    </row>
    <row r="133" spans="5:23" x14ac:dyDescent="0.25">
      <c r="F133" t="s">
        <v>839</v>
      </c>
      <c r="G133" s="62" t="s">
        <v>284</v>
      </c>
      <c r="H133" s="88">
        <f t="shared" si="37"/>
        <v>1.0580000000000001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1.0580000000000001</v>
      </c>
      <c r="T133" s="69"/>
      <c r="U133" s="69"/>
    </row>
    <row r="134" spans="5:23" x14ac:dyDescent="0.25">
      <c r="F134" t="s">
        <v>831</v>
      </c>
      <c r="G134" s="62" t="s">
        <v>284</v>
      </c>
      <c r="H134" s="88">
        <f t="shared" si="37"/>
        <v>1.0580000000000001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1.0580000000000001</v>
      </c>
      <c r="T134" s="69"/>
      <c r="U134" s="69"/>
    </row>
    <row r="135" spans="5:23" x14ac:dyDescent="0.25">
      <c r="F135" t="s">
        <v>832</v>
      </c>
      <c r="G135" s="62" t="s">
        <v>284</v>
      </c>
      <c r="H135" s="88">
        <f t="shared" si="37"/>
        <v>1.0429999999999999</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1.0429999999999999</v>
      </c>
      <c r="S135" s="88">
        <f>OR(SUM(S74:$S74) = 1, SUM(S74:$S74) = -1) * S$29</f>
        <v>0</v>
      </c>
      <c r="T135" s="69"/>
      <c r="U135" s="69"/>
    </row>
    <row r="136" spans="5:23" x14ac:dyDescent="0.25">
      <c r="F136" t="s">
        <v>833</v>
      </c>
      <c r="G136" s="62" t="s">
        <v>284</v>
      </c>
      <c r="H136" s="88">
        <f t="shared" si="37"/>
        <v>1.0580000000000001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1.0580000000000001</v>
      </c>
      <c r="T136" s="69"/>
      <c r="U136" s="69"/>
    </row>
    <row r="137" spans="5:23" x14ac:dyDescent="0.25">
      <c r="F137" t="s">
        <v>842</v>
      </c>
      <c r="G137" s="62" t="s">
        <v>284</v>
      </c>
      <c r="H137" s="88">
        <f t="shared" si="37"/>
        <v>1.0580000000000001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1.0580000000000001</v>
      </c>
      <c r="T137" s="69"/>
      <c r="U137" s="69"/>
    </row>
    <row r="138" spans="5:23" x14ac:dyDescent="0.25">
      <c r="F138" t="s">
        <v>834</v>
      </c>
      <c r="G138" s="62" t="s">
        <v>284</v>
      </c>
      <c r="H138" s="88">
        <f t="shared" si="37"/>
        <v>1.0429999999999999</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1.0429999999999999</v>
      </c>
      <c r="S138" s="88">
        <f>OR(SUM(S77:$S77) = 1, SUM(S77:$S77) = -1) * S$29</f>
        <v>0</v>
      </c>
      <c r="T138" s="69"/>
      <c r="U138" s="69"/>
    </row>
    <row r="139" spans="5:23" x14ac:dyDescent="0.25">
      <c r="F139" t="s">
        <v>841</v>
      </c>
      <c r="G139" s="62" t="s">
        <v>284</v>
      </c>
      <c r="H139" s="88">
        <f t="shared" si="37"/>
        <v>1.0429999999999999</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1.0429999999999999</v>
      </c>
      <c r="S139" s="88">
        <f>OR(SUM(S78:$S78) = 1, SUM(S78:$S78) = -1) * S$29</f>
        <v>0</v>
      </c>
      <c r="T139" s="69"/>
      <c r="U139" s="69"/>
    </row>
    <row r="140" spans="5:23" x14ac:dyDescent="0.25">
      <c r="F140" t="s">
        <v>835</v>
      </c>
      <c r="G140" s="62" t="s">
        <v>284</v>
      </c>
      <c r="H140" s="88">
        <f t="shared" si="37"/>
        <v>1.0309999999999999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1.014</v>
      </c>
      <c r="Q140" s="88">
        <f>OR(SUM(Q79:$S79) = 1, SUM(Q79:$S79) = -1) * Q$29</f>
        <v>1.0309999999999999</v>
      </c>
      <c r="R140" s="88">
        <f>OR(SUM(R79:$S79) = 1, SUM(R79:$S79) = -1) * R$29</f>
        <v>0</v>
      </c>
      <c r="S140" s="88">
        <f>OR(SUM(S79:$S79) = 1, SUM(S79:$S79) = -1) * S$29</f>
        <v>0</v>
      </c>
      <c r="T140" s="69"/>
      <c r="U140" s="69"/>
    </row>
    <row r="141" spans="5:23" x14ac:dyDescent="0.25">
      <c r="F141" s="28" t="s">
        <v>840</v>
      </c>
      <c r="G141" s="70" t="s">
        <v>284</v>
      </c>
      <c r="H141" s="90">
        <f t="shared" si="37"/>
        <v>1.0309999999999999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1.014</v>
      </c>
      <c r="Q141" s="90">
        <f>OR(SUM(Q80:$S80) = 1, SUM(Q80:$S80) = -1) * Q$29</f>
        <v>1.0309999999999999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155</v>
      </c>
      <c r="W143" s="3" t="s">
        <v>408</v>
      </c>
    </row>
    <row r="144" spans="5:23" x14ac:dyDescent="0.25">
      <c r="E144" s="24" t="s">
        <v>400</v>
      </c>
      <c r="G144" s="12"/>
    </row>
    <row r="145" spans="6:23" x14ac:dyDescent="0.25">
      <c r="F145" s="19" t="s">
        <v>827</v>
      </c>
      <c r="G145" s="68" t="s">
        <v>284</v>
      </c>
      <c r="H145" s="119"/>
      <c r="I145" s="19"/>
      <c r="J145" s="91">
        <f t="shared" ref="J145:S145" si="38">$H126 * J104</f>
        <v>1.0580000000000001</v>
      </c>
      <c r="K145" s="91">
        <f t="shared" si="38"/>
        <v>1.0580000000000001</v>
      </c>
      <c r="L145" s="91">
        <f t="shared" si="38"/>
        <v>1.0580000000000001</v>
      </c>
      <c r="M145" s="91">
        <f t="shared" si="38"/>
        <v>1.0580000000000001</v>
      </c>
      <c r="N145" s="91">
        <f t="shared" si="38"/>
        <v>1.0580000000000001</v>
      </c>
      <c r="O145" s="91">
        <f t="shared" si="38"/>
        <v>1.0580000000000001</v>
      </c>
      <c r="P145" s="91">
        <f t="shared" si="38"/>
        <v>0</v>
      </c>
      <c r="Q145" s="91">
        <f t="shared" si="38"/>
        <v>1.0580000000000001</v>
      </c>
      <c r="R145" s="91">
        <f t="shared" si="38"/>
        <v>1.0580000000000001</v>
      </c>
      <c r="S145" s="91">
        <f t="shared" si="38"/>
        <v>1.0580000000000001</v>
      </c>
      <c r="T145" s="73"/>
      <c r="U145" s="73"/>
    </row>
    <row r="146" spans="6:23" x14ac:dyDescent="0.25">
      <c r="F146" t="s">
        <v>829</v>
      </c>
      <c r="G146" s="62" t="s">
        <v>284</v>
      </c>
      <c r="H146" s="53"/>
      <c r="J146" s="111">
        <f t="shared" ref="J146:S146" si="39">$H127 * J105</f>
        <v>1.0580000000000001</v>
      </c>
      <c r="K146" s="111">
        <f t="shared" si="39"/>
        <v>1.0580000000000001</v>
      </c>
      <c r="L146" s="111">
        <f t="shared" si="39"/>
        <v>1.0580000000000001</v>
      </c>
      <c r="M146" s="111">
        <f t="shared" si="39"/>
        <v>1.0580000000000001</v>
      </c>
      <c r="N146" s="111">
        <f t="shared" si="39"/>
        <v>1.0580000000000001</v>
      </c>
      <c r="O146" s="111">
        <f t="shared" si="39"/>
        <v>1.0580000000000001</v>
      </c>
      <c r="P146" s="111">
        <f t="shared" si="39"/>
        <v>0</v>
      </c>
      <c r="Q146" s="111">
        <f t="shared" si="39"/>
        <v>1.0580000000000001</v>
      </c>
      <c r="R146" s="111">
        <f t="shared" si="39"/>
        <v>1.0580000000000001</v>
      </c>
      <c r="S146" s="111">
        <f t="shared" si="39"/>
        <v>1.0580000000000001</v>
      </c>
      <c r="T146" s="69"/>
      <c r="U146" s="69"/>
      <c r="W146" s="3"/>
    </row>
    <row r="147" spans="6:23" x14ac:dyDescent="0.25">
      <c r="F147" t="s">
        <v>828</v>
      </c>
      <c r="G147" s="62" t="s">
        <v>284</v>
      </c>
      <c r="H147" s="53"/>
      <c r="J147" s="111">
        <f t="shared" ref="J147:S147" si="40">$H128 * J106</f>
        <v>1.0580000000000001</v>
      </c>
      <c r="K147" s="111">
        <f t="shared" si="40"/>
        <v>1.0580000000000001</v>
      </c>
      <c r="L147" s="111">
        <f t="shared" si="40"/>
        <v>1.0580000000000001</v>
      </c>
      <c r="M147" s="111">
        <f t="shared" si="40"/>
        <v>1.0580000000000001</v>
      </c>
      <c r="N147" s="111">
        <f t="shared" si="40"/>
        <v>1.0580000000000001</v>
      </c>
      <c r="O147" s="111">
        <f t="shared" si="40"/>
        <v>1.0580000000000001</v>
      </c>
      <c r="P147" s="111">
        <f t="shared" si="40"/>
        <v>0</v>
      </c>
      <c r="Q147" s="111">
        <f t="shared" si="40"/>
        <v>1.0580000000000001</v>
      </c>
      <c r="R147" s="111">
        <f t="shared" si="40"/>
        <v>1.0580000000000001</v>
      </c>
      <c r="S147" s="111">
        <f t="shared" si="40"/>
        <v>1.0580000000000001</v>
      </c>
      <c r="T147" s="69"/>
      <c r="U147" s="69"/>
      <c r="W147" s="3"/>
    </row>
    <row r="148" spans="6:23" x14ac:dyDescent="0.25">
      <c r="F148" t="s">
        <v>830</v>
      </c>
      <c r="G148" s="62" t="s">
        <v>284</v>
      </c>
      <c r="H148" s="53"/>
      <c r="J148" s="111">
        <f t="shared" ref="J148:S148" si="41">$H129 * J107</f>
        <v>1.0580000000000001</v>
      </c>
      <c r="K148" s="111">
        <f t="shared" si="41"/>
        <v>1.0580000000000001</v>
      </c>
      <c r="L148" s="111">
        <f t="shared" si="41"/>
        <v>1.0580000000000001</v>
      </c>
      <c r="M148" s="111">
        <f t="shared" si="41"/>
        <v>1.0580000000000001</v>
      </c>
      <c r="N148" s="111">
        <f t="shared" si="41"/>
        <v>1.0580000000000001</v>
      </c>
      <c r="O148" s="111">
        <f t="shared" si="41"/>
        <v>1.0580000000000001</v>
      </c>
      <c r="P148" s="111">
        <f t="shared" si="41"/>
        <v>0</v>
      </c>
      <c r="Q148" s="111">
        <f t="shared" si="41"/>
        <v>1.0580000000000001</v>
      </c>
      <c r="R148" s="111">
        <f t="shared" si="41"/>
        <v>1.0580000000000001</v>
      </c>
      <c r="S148" s="111">
        <f t="shared" si="41"/>
        <v>1.0580000000000001</v>
      </c>
      <c r="T148" s="69"/>
      <c r="U148" s="69"/>
    </row>
    <row r="149" spans="6:23" x14ac:dyDescent="0.25">
      <c r="F149" t="s">
        <v>836</v>
      </c>
      <c r="G149" s="62" t="s">
        <v>284</v>
      </c>
      <c r="H149" s="53"/>
      <c r="J149" s="111">
        <f t="shared" ref="J149:S149" si="42">$H130 * J108</f>
        <v>1.0580000000000001</v>
      </c>
      <c r="K149" s="111">
        <f t="shared" si="42"/>
        <v>1.0580000000000001</v>
      </c>
      <c r="L149" s="111">
        <f t="shared" si="42"/>
        <v>1.0580000000000001</v>
      </c>
      <c r="M149" s="111">
        <f t="shared" si="42"/>
        <v>1.0580000000000001</v>
      </c>
      <c r="N149" s="111">
        <f t="shared" si="42"/>
        <v>1.0580000000000001</v>
      </c>
      <c r="O149" s="111">
        <f t="shared" si="42"/>
        <v>1.0580000000000001</v>
      </c>
      <c r="P149" s="111">
        <f t="shared" si="42"/>
        <v>0</v>
      </c>
      <c r="Q149" s="111">
        <f t="shared" si="42"/>
        <v>1.0580000000000001</v>
      </c>
      <c r="R149" s="111">
        <f t="shared" si="42"/>
        <v>1.0580000000000001</v>
      </c>
      <c r="S149" s="111">
        <f t="shared" si="42"/>
        <v>1.0580000000000001</v>
      </c>
      <c r="T149" s="69"/>
      <c r="U149" s="69"/>
    </row>
    <row r="150" spans="6:23" x14ac:dyDescent="0.25">
      <c r="F150" t="s">
        <v>837</v>
      </c>
      <c r="G150" s="62" t="s">
        <v>284</v>
      </c>
      <c r="H150" s="53"/>
      <c r="J150" s="111">
        <f t="shared" ref="J150:S150" si="43">$H131 * J109</f>
        <v>1.0429999999999999</v>
      </c>
      <c r="K150" s="111">
        <f t="shared" si="43"/>
        <v>1.0429999999999999</v>
      </c>
      <c r="L150" s="111">
        <f t="shared" si="43"/>
        <v>1.0429999999999999</v>
      </c>
      <c r="M150" s="111">
        <f t="shared" si="43"/>
        <v>1.0429999999999999</v>
      </c>
      <c r="N150" s="111">
        <f t="shared" si="43"/>
        <v>1.0429999999999999</v>
      </c>
      <c r="O150" s="111">
        <f t="shared" si="43"/>
        <v>1.0429999999999999</v>
      </c>
      <c r="P150" s="111">
        <f t="shared" si="43"/>
        <v>0</v>
      </c>
      <c r="Q150" s="111">
        <f t="shared" si="43"/>
        <v>1.0429999999999999</v>
      </c>
      <c r="R150" s="111">
        <f t="shared" si="43"/>
        <v>1.0429999999999999</v>
      </c>
      <c r="S150" s="111">
        <f t="shared" si="43"/>
        <v>0</v>
      </c>
      <c r="T150" s="69"/>
      <c r="U150" s="69"/>
    </row>
    <row r="151" spans="6:23" x14ac:dyDescent="0.25">
      <c r="F151" t="s">
        <v>838</v>
      </c>
      <c r="G151" s="62" t="s">
        <v>284</v>
      </c>
      <c r="H151" s="53"/>
      <c r="J151" s="111">
        <f t="shared" ref="J151:S151" si="44">$H132 * J110</f>
        <v>1.0309999999999999</v>
      </c>
      <c r="K151" s="111">
        <f t="shared" si="44"/>
        <v>1.0309999999999999</v>
      </c>
      <c r="L151" s="111">
        <f t="shared" si="44"/>
        <v>1.0309999999999999</v>
      </c>
      <c r="M151" s="111">
        <f t="shared" si="44"/>
        <v>1.0309999999999999</v>
      </c>
      <c r="N151" s="111">
        <f t="shared" si="44"/>
        <v>1.0309999999999999</v>
      </c>
      <c r="O151" s="111">
        <f t="shared" si="44"/>
        <v>1.0309999999999999</v>
      </c>
      <c r="P151" s="111">
        <f t="shared" si="44"/>
        <v>0</v>
      </c>
      <c r="Q151" s="111">
        <f t="shared" si="44"/>
        <v>1.0309999999999999</v>
      </c>
      <c r="R151" s="111">
        <f t="shared" si="44"/>
        <v>0</v>
      </c>
      <c r="S151" s="111">
        <f t="shared" si="44"/>
        <v>0</v>
      </c>
      <c r="T151" s="69"/>
      <c r="U151" s="69"/>
    </row>
    <row r="152" spans="6:23" x14ac:dyDescent="0.25">
      <c r="F152" t="s">
        <v>839</v>
      </c>
      <c r="G152" s="62" t="s">
        <v>284</v>
      </c>
      <c r="H152" s="53"/>
      <c r="J152" s="111">
        <f t="shared" ref="J152:S152" si="45">$H133 * J111</f>
        <v>1.0580000000000001</v>
      </c>
      <c r="K152" s="111">
        <f t="shared" si="45"/>
        <v>1.0580000000000001</v>
      </c>
      <c r="L152" s="111">
        <f t="shared" si="45"/>
        <v>1.0580000000000001</v>
      </c>
      <c r="M152" s="111">
        <f t="shared" si="45"/>
        <v>1.0580000000000001</v>
      </c>
      <c r="N152" s="111">
        <f t="shared" si="45"/>
        <v>1.0580000000000001</v>
      </c>
      <c r="O152" s="111">
        <f t="shared" si="45"/>
        <v>1.0580000000000001</v>
      </c>
      <c r="P152" s="111">
        <f t="shared" si="45"/>
        <v>0</v>
      </c>
      <c r="Q152" s="111">
        <f t="shared" si="45"/>
        <v>1.0580000000000001</v>
      </c>
      <c r="R152" s="111">
        <f t="shared" si="45"/>
        <v>1.0580000000000001</v>
      </c>
      <c r="S152" s="111">
        <f t="shared" si="45"/>
        <v>1.0580000000000001</v>
      </c>
      <c r="T152" s="69"/>
      <c r="U152" s="69"/>
    </row>
    <row r="153" spans="6:23" x14ac:dyDescent="0.25">
      <c r="F153" t="s">
        <v>831</v>
      </c>
      <c r="G153" s="62" t="s">
        <v>284</v>
      </c>
      <c r="H153" s="53"/>
      <c r="J153" s="111">
        <f t="shared" ref="J153:S153" si="46">$H134 * J112</f>
        <v>-1.0580000000000001</v>
      </c>
      <c r="K153" s="111">
        <f t="shared" si="46"/>
        <v>-1.0580000000000001</v>
      </c>
      <c r="L153" s="111">
        <f t="shared" si="46"/>
        <v>-1.0580000000000001</v>
      </c>
      <c r="M153" s="111">
        <f t="shared" si="46"/>
        <v>-1.0580000000000001</v>
      </c>
      <c r="N153" s="111">
        <f t="shared" si="46"/>
        <v>-1.0580000000000001</v>
      </c>
      <c r="O153" s="111">
        <f t="shared" si="46"/>
        <v>-1.0580000000000001</v>
      </c>
      <c r="P153" s="111">
        <f t="shared" si="46"/>
        <v>0</v>
      </c>
      <c r="Q153" s="111">
        <f t="shared" si="46"/>
        <v>-1.0580000000000001</v>
      </c>
      <c r="R153" s="111">
        <f t="shared" si="46"/>
        <v>-1.0580000000000001</v>
      </c>
      <c r="S153" s="111">
        <f t="shared" si="46"/>
        <v>0</v>
      </c>
      <c r="T153" s="69"/>
      <c r="U153" s="69"/>
    </row>
    <row r="154" spans="6:23" x14ac:dyDescent="0.25">
      <c r="F154" t="s">
        <v>832</v>
      </c>
      <c r="G154" s="62" t="s">
        <v>284</v>
      </c>
      <c r="H154" s="53"/>
      <c r="J154" s="111">
        <f t="shared" ref="J154:S154" si="47">$H135 * J113</f>
        <v>-1.0429999999999999</v>
      </c>
      <c r="K154" s="111">
        <f t="shared" si="47"/>
        <v>-1.0429999999999999</v>
      </c>
      <c r="L154" s="111">
        <f t="shared" si="47"/>
        <v>-1.0429999999999999</v>
      </c>
      <c r="M154" s="111">
        <f t="shared" si="47"/>
        <v>-1.0429999999999999</v>
      </c>
      <c r="N154" s="111">
        <f t="shared" si="47"/>
        <v>-1.0429999999999999</v>
      </c>
      <c r="O154" s="111">
        <f t="shared" si="47"/>
        <v>-1.0429999999999999</v>
      </c>
      <c r="P154" s="111">
        <f t="shared" si="47"/>
        <v>0</v>
      </c>
      <c r="Q154" s="111">
        <f t="shared" si="47"/>
        <v>-1.0429999999999999</v>
      </c>
      <c r="R154" s="111">
        <f t="shared" si="47"/>
        <v>0</v>
      </c>
      <c r="S154" s="111">
        <f t="shared" si="47"/>
        <v>0</v>
      </c>
      <c r="T154" s="69"/>
      <c r="U154" s="69"/>
    </row>
    <row r="155" spans="6:23" x14ac:dyDescent="0.25">
      <c r="F155" t="s">
        <v>833</v>
      </c>
      <c r="G155" s="62" t="s">
        <v>284</v>
      </c>
      <c r="H155" s="53"/>
      <c r="J155" s="111">
        <f t="shared" ref="J155:S155" si="48">$H136 * J114</f>
        <v>-1.0580000000000001</v>
      </c>
      <c r="K155" s="111">
        <f t="shared" si="48"/>
        <v>-1.0580000000000001</v>
      </c>
      <c r="L155" s="111">
        <f t="shared" si="48"/>
        <v>-1.0580000000000001</v>
      </c>
      <c r="M155" s="111">
        <f t="shared" si="48"/>
        <v>-1.0580000000000001</v>
      </c>
      <c r="N155" s="111">
        <f t="shared" si="48"/>
        <v>-1.0580000000000001</v>
      </c>
      <c r="O155" s="111">
        <f t="shared" si="48"/>
        <v>-1.0580000000000001</v>
      </c>
      <c r="P155" s="111">
        <f t="shared" si="48"/>
        <v>0</v>
      </c>
      <c r="Q155" s="111">
        <f t="shared" si="48"/>
        <v>-1.0580000000000001</v>
      </c>
      <c r="R155" s="111">
        <f t="shared" si="48"/>
        <v>-1.0580000000000001</v>
      </c>
      <c r="S155" s="111">
        <f t="shared" si="48"/>
        <v>0</v>
      </c>
      <c r="T155" s="69"/>
      <c r="U155" s="69"/>
    </row>
    <row r="156" spans="6:23" x14ac:dyDescent="0.25">
      <c r="F156" t="s">
        <v>842</v>
      </c>
      <c r="G156" s="62" t="s">
        <v>284</v>
      </c>
      <c r="H156" s="53"/>
      <c r="J156" s="111">
        <f t="shared" ref="J156:S156" si="49">$H137 * J115</f>
        <v>-1.0580000000000001</v>
      </c>
      <c r="K156" s="111">
        <f t="shared" si="49"/>
        <v>-1.0580000000000001</v>
      </c>
      <c r="L156" s="111">
        <f t="shared" si="49"/>
        <v>-1.0580000000000001</v>
      </c>
      <c r="M156" s="111">
        <f t="shared" si="49"/>
        <v>-1.0580000000000001</v>
      </c>
      <c r="N156" s="111">
        <f t="shared" si="49"/>
        <v>-1.0580000000000001</v>
      </c>
      <c r="O156" s="111">
        <f t="shared" si="49"/>
        <v>-1.0580000000000001</v>
      </c>
      <c r="P156" s="111">
        <f t="shared" si="49"/>
        <v>0</v>
      </c>
      <c r="Q156" s="111">
        <f t="shared" si="49"/>
        <v>-1.0580000000000001</v>
      </c>
      <c r="R156" s="111">
        <f t="shared" si="49"/>
        <v>-1.0580000000000001</v>
      </c>
      <c r="S156" s="111">
        <f t="shared" si="49"/>
        <v>0</v>
      </c>
      <c r="T156" s="69"/>
      <c r="U156" s="69"/>
    </row>
    <row r="157" spans="6:23" x14ac:dyDescent="0.25">
      <c r="F157" t="s">
        <v>834</v>
      </c>
      <c r="G157" s="62" t="s">
        <v>284</v>
      </c>
      <c r="H157" s="53"/>
      <c r="J157" s="111">
        <f t="shared" ref="J157:S157" si="50">$H138 * J116</f>
        <v>-1.0429999999999999</v>
      </c>
      <c r="K157" s="111">
        <f t="shared" si="50"/>
        <v>-1.0429999999999999</v>
      </c>
      <c r="L157" s="111">
        <f t="shared" si="50"/>
        <v>-1.0429999999999999</v>
      </c>
      <c r="M157" s="111">
        <f t="shared" si="50"/>
        <v>-1.0429999999999999</v>
      </c>
      <c r="N157" s="111">
        <f t="shared" si="50"/>
        <v>-1.0429999999999999</v>
      </c>
      <c r="O157" s="111">
        <f t="shared" si="50"/>
        <v>-1.0429999999999999</v>
      </c>
      <c r="P157" s="111">
        <f t="shared" si="50"/>
        <v>0</v>
      </c>
      <c r="Q157" s="111">
        <f t="shared" si="50"/>
        <v>-1.0429999999999999</v>
      </c>
      <c r="R157" s="111">
        <f t="shared" si="50"/>
        <v>0</v>
      </c>
      <c r="S157" s="111">
        <f t="shared" si="50"/>
        <v>0</v>
      </c>
      <c r="T157" s="69"/>
      <c r="U157" s="69"/>
    </row>
    <row r="158" spans="6:23" x14ac:dyDescent="0.25">
      <c r="F158" t="s">
        <v>841</v>
      </c>
      <c r="G158" s="62" t="s">
        <v>284</v>
      </c>
      <c r="H158" s="53"/>
      <c r="J158" s="111">
        <f t="shared" ref="J158:S158" si="51">$H139 * J117</f>
        <v>-1.0429999999999999</v>
      </c>
      <c r="K158" s="111">
        <f t="shared" si="51"/>
        <v>-1.0429999999999999</v>
      </c>
      <c r="L158" s="111">
        <f t="shared" si="51"/>
        <v>-1.0429999999999999</v>
      </c>
      <c r="M158" s="111">
        <f t="shared" si="51"/>
        <v>-1.0429999999999999</v>
      </c>
      <c r="N158" s="111">
        <f t="shared" si="51"/>
        <v>-1.0429999999999999</v>
      </c>
      <c r="O158" s="111">
        <f t="shared" si="51"/>
        <v>-1.0429999999999999</v>
      </c>
      <c r="P158" s="111">
        <f t="shared" si="51"/>
        <v>0</v>
      </c>
      <c r="Q158" s="111">
        <f t="shared" si="51"/>
        <v>-1.0429999999999999</v>
      </c>
      <c r="R158" s="111">
        <f t="shared" si="51"/>
        <v>0</v>
      </c>
      <c r="S158" s="111">
        <f t="shared" si="51"/>
        <v>0</v>
      </c>
      <c r="T158" s="69"/>
      <c r="U158" s="69"/>
    </row>
    <row r="159" spans="6:23" x14ac:dyDescent="0.25">
      <c r="F159" t="s">
        <v>835</v>
      </c>
      <c r="G159" s="62" t="s">
        <v>284</v>
      </c>
      <c r="H159" s="53"/>
      <c r="J159" s="111">
        <f t="shared" ref="J159:S159" si="52">$H140 * J118</f>
        <v>-1.0309999999999999</v>
      </c>
      <c r="K159" s="111">
        <f t="shared" si="52"/>
        <v>-1.0309999999999999</v>
      </c>
      <c r="L159" s="111">
        <f t="shared" si="52"/>
        <v>-1.0309999999999999</v>
      </c>
      <c r="M159" s="111">
        <f t="shared" si="52"/>
        <v>-1.0309999999999999</v>
      </c>
      <c r="N159" s="111">
        <f t="shared" si="52"/>
        <v>-1.0309999999999999</v>
      </c>
      <c r="O159" s="111">
        <f t="shared" si="52"/>
        <v>-1.0309999999999999</v>
      </c>
      <c r="P159" s="111">
        <f t="shared" si="52"/>
        <v>0</v>
      </c>
      <c r="Q159" s="111">
        <f t="shared" si="52"/>
        <v>0</v>
      </c>
      <c r="R159" s="111">
        <f t="shared" si="52"/>
        <v>0</v>
      </c>
      <c r="S159" s="111">
        <f t="shared" si="52"/>
        <v>0</v>
      </c>
      <c r="T159" s="69"/>
      <c r="U159" s="69"/>
    </row>
    <row r="160" spans="6:23" x14ac:dyDescent="0.25">
      <c r="F160" s="28" t="s">
        <v>840</v>
      </c>
      <c r="G160" s="70" t="s">
        <v>284</v>
      </c>
      <c r="H160" s="120"/>
      <c r="I160" s="28"/>
      <c r="J160" s="121">
        <f t="shared" ref="J160:S160" si="53">$H141 * J119</f>
        <v>-1.0309999999999999</v>
      </c>
      <c r="K160" s="121">
        <f t="shared" si="53"/>
        <v>-1.0309999999999999</v>
      </c>
      <c r="L160" s="121">
        <f t="shared" si="53"/>
        <v>-1.0309999999999999</v>
      </c>
      <c r="M160" s="121">
        <f t="shared" si="53"/>
        <v>-1.0309999999999999</v>
      </c>
      <c r="N160" s="121">
        <f t="shared" si="53"/>
        <v>-1.0309999999999999</v>
      </c>
      <c r="O160" s="121">
        <f t="shared" si="53"/>
        <v>-1.0309999999999999</v>
      </c>
      <c r="P160" s="121">
        <f t="shared" si="53"/>
        <v>0</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155</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284</v>
      </c>
      <c r="H164" s="119"/>
      <c r="I164" s="19"/>
      <c r="J164" s="73"/>
      <c r="K164" s="73"/>
      <c r="L164" s="73"/>
      <c r="M164" s="73"/>
      <c r="N164" s="73"/>
      <c r="O164" s="73"/>
      <c r="P164" s="73"/>
      <c r="Q164" s="73"/>
      <c r="R164" s="73"/>
      <c r="S164" s="73"/>
      <c r="T164" s="73"/>
      <c r="U164" s="73"/>
    </row>
    <row r="165" spans="5:23" x14ac:dyDescent="0.25">
      <c r="F165" t="s">
        <v>829</v>
      </c>
      <c r="G165" s="62" t="s">
        <v>284</v>
      </c>
      <c r="H165" s="53"/>
      <c r="J165" s="69"/>
      <c r="K165" s="69"/>
      <c r="L165" s="69"/>
      <c r="M165" s="69"/>
      <c r="N165" s="69"/>
      <c r="O165" s="69"/>
      <c r="P165" s="69"/>
      <c r="Q165" s="69"/>
      <c r="R165" s="69"/>
      <c r="S165" s="69"/>
      <c r="T165" s="69"/>
      <c r="U165" s="69"/>
      <c r="W165" s="3"/>
    </row>
    <row r="166" spans="5:23" x14ac:dyDescent="0.25">
      <c r="F166" t="s">
        <v>828</v>
      </c>
      <c r="G166" s="62" t="s">
        <v>284</v>
      </c>
      <c r="H166" s="53"/>
      <c r="J166" s="69"/>
      <c r="K166" s="69"/>
      <c r="L166" s="69"/>
      <c r="M166" s="69"/>
      <c r="N166" s="69"/>
      <c r="O166" s="69"/>
      <c r="P166" s="69"/>
      <c r="Q166" s="69"/>
      <c r="R166" s="69"/>
      <c r="S166" s="69"/>
      <c r="T166" s="69"/>
      <c r="U166" s="69"/>
      <c r="W166" s="3"/>
    </row>
    <row r="167" spans="5:23" x14ac:dyDescent="0.25">
      <c r="F167" t="s">
        <v>830</v>
      </c>
      <c r="G167" s="62" t="s">
        <v>284</v>
      </c>
      <c r="H167" s="53"/>
      <c r="J167" s="69"/>
      <c r="K167" s="69"/>
      <c r="L167" s="69"/>
      <c r="M167" s="69"/>
      <c r="N167" s="69"/>
      <c r="O167" s="69"/>
      <c r="P167" s="69"/>
      <c r="Q167" s="69"/>
      <c r="R167" s="69"/>
      <c r="S167" s="69"/>
      <c r="T167" s="69"/>
      <c r="U167" s="69"/>
    </row>
    <row r="168" spans="5:23" x14ac:dyDescent="0.25">
      <c r="F168" t="s">
        <v>836</v>
      </c>
      <c r="G168" s="62" t="s">
        <v>284</v>
      </c>
      <c r="H168" s="53"/>
      <c r="J168" s="69"/>
      <c r="K168" s="69"/>
      <c r="L168" s="69"/>
      <c r="M168" s="69"/>
      <c r="N168" s="69"/>
      <c r="O168" s="69"/>
      <c r="P168" s="69"/>
      <c r="Q168" s="69"/>
      <c r="R168" s="69"/>
      <c r="S168" s="69"/>
      <c r="T168" s="69"/>
      <c r="U168" s="69"/>
    </row>
    <row r="169" spans="5:23" x14ac:dyDescent="0.25">
      <c r="F169" t="s">
        <v>837</v>
      </c>
      <c r="G169" s="62" t="s">
        <v>284</v>
      </c>
      <c r="H169" s="53"/>
      <c r="J169" s="69"/>
      <c r="K169" s="69"/>
      <c r="L169" s="69"/>
      <c r="M169" s="69"/>
      <c r="N169" s="69"/>
      <c r="O169" s="69"/>
      <c r="P169" s="69"/>
      <c r="Q169" s="69"/>
      <c r="R169" s="69"/>
      <c r="S169" s="69"/>
      <c r="T169" s="69"/>
      <c r="U169" s="69"/>
    </row>
    <row r="170" spans="5:23" x14ac:dyDescent="0.25">
      <c r="F170" t="s">
        <v>838</v>
      </c>
      <c r="G170" s="62" t="s">
        <v>284</v>
      </c>
      <c r="H170" s="53"/>
      <c r="J170" s="69"/>
      <c r="K170" s="69"/>
      <c r="L170" s="69"/>
      <c r="M170" s="69"/>
      <c r="N170" s="69"/>
      <c r="O170" s="69"/>
      <c r="P170" s="69"/>
      <c r="Q170" s="69"/>
      <c r="R170" s="69"/>
      <c r="S170" s="69"/>
      <c r="T170" s="69"/>
      <c r="U170" s="69"/>
    </row>
    <row r="171" spans="5:23" x14ac:dyDescent="0.25">
      <c r="F171" t="s">
        <v>839</v>
      </c>
      <c r="G171" s="62" t="s">
        <v>284</v>
      </c>
      <c r="H171" s="53"/>
      <c r="J171" s="69"/>
      <c r="K171" s="69"/>
      <c r="L171" s="69"/>
      <c r="M171" s="69"/>
      <c r="N171" s="69"/>
      <c r="O171" s="69"/>
      <c r="P171" s="69"/>
      <c r="Q171" s="69"/>
      <c r="R171" s="69"/>
      <c r="S171" s="69"/>
      <c r="T171" s="69"/>
      <c r="U171" s="69"/>
    </row>
    <row r="172" spans="5:23" x14ac:dyDescent="0.25">
      <c r="F172" t="s">
        <v>831</v>
      </c>
      <c r="G172" s="62" t="s">
        <v>284</v>
      </c>
      <c r="H172" s="53"/>
      <c r="J172" s="111">
        <f t="shared" ref="J172:S172" si="54">$H134 * J73</f>
        <v>-1.0580000000000001</v>
      </c>
      <c r="K172" s="111">
        <f t="shared" si="54"/>
        <v>-1.0580000000000001</v>
      </c>
      <c r="L172" s="111">
        <f t="shared" si="54"/>
        <v>-1.0580000000000001</v>
      </c>
      <c r="M172" s="111">
        <f t="shared" si="54"/>
        <v>-1.0580000000000001</v>
      </c>
      <c r="N172" s="111">
        <f t="shared" si="54"/>
        <v>-1.0580000000000001</v>
      </c>
      <c r="O172" s="111">
        <f t="shared" si="54"/>
        <v>-1.0580000000000001</v>
      </c>
      <c r="P172" s="111">
        <f t="shared" si="54"/>
        <v>0</v>
      </c>
      <c r="Q172" s="111">
        <f t="shared" si="54"/>
        <v>-1.0580000000000001</v>
      </c>
      <c r="R172" s="111">
        <f t="shared" si="54"/>
        <v>-1.0580000000000001</v>
      </c>
      <c r="S172" s="111">
        <f t="shared" si="54"/>
        <v>-1.0580000000000001</v>
      </c>
      <c r="T172" s="69"/>
      <c r="U172" s="69"/>
    </row>
    <row r="173" spans="5:23" x14ac:dyDescent="0.25">
      <c r="F173" t="s">
        <v>832</v>
      </c>
      <c r="G173" s="62" t="s">
        <v>284</v>
      </c>
      <c r="H173" s="53"/>
      <c r="J173" s="111">
        <f t="shared" ref="J173:S173" si="55">$H135 * J74</f>
        <v>-1.0429999999999999</v>
      </c>
      <c r="K173" s="111">
        <f t="shared" si="55"/>
        <v>-1.0429999999999999</v>
      </c>
      <c r="L173" s="111">
        <f t="shared" si="55"/>
        <v>-1.0429999999999999</v>
      </c>
      <c r="M173" s="111">
        <f t="shared" si="55"/>
        <v>-1.0429999999999999</v>
      </c>
      <c r="N173" s="111">
        <f t="shared" si="55"/>
        <v>-1.0429999999999999</v>
      </c>
      <c r="O173" s="111">
        <f t="shared" si="55"/>
        <v>-1.0429999999999999</v>
      </c>
      <c r="P173" s="111">
        <f t="shared" si="55"/>
        <v>0</v>
      </c>
      <c r="Q173" s="111">
        <f t="shared" si="55"/>
        <v>-1.0429999999999999</v>
      </c>
      <c r="R173" s="111">
        <f t="shared" si="55"/>
        <v>-1.0429999999999999</v>
      </c>
      <c r="S173" s="111">
        <f t="shared" si="55"/>
        <v>0</v>
      </c>
      <c r="T173" s="69"/>
      <c r="U173" s="69"/>
    </row>
    <row r="174" spans="5:23" x14ac:dyDescent="0.25">
      <c r="F174" t="s">
        <v>833</v>
      </c>
      <c r="G174" s="62" t="s">
        <v>284</v>
      </c>
      <c r="H174" s="53"/>
      <c r="J174" s="111">
        <f t="shared" ref="J174:S174" si="56">$H136 * J75</f>
        <v>-1.0580000000000001</v>
      </c>
      <c r="K174" s="111">
        <f t="shared" si="56"/>
        <v>-1.0580000000000001</v>
      </c>
      <c r="L174" s="111">
        <f t="shared" si="56"/>
        <v>-1.0580000000000001</v>
      </c>
      <c r="M174" s="111">
        <f t="shared" si="56"/>
        <v>-1.0580000000000001</v>
      </c>
      <c r="N174" s="111">
        <f t="shared" si="56"/>
        <v>-1.0580000000000001</v>
      </c>
      <c r="O174" s="111">
        <f t="shared" si="56"/>
        <v>-1.0580000000000001</v>
      </c>
      <c r="P174" s="111">
        <f t="shared" si="56"/>
        <v>0</v>
      </c>
      <c r="Q174" s="111">
        <f t="shared" si="56"/>
        <v>-1.0580000000000001</v>
      </c>
      <c r="R174" s="111">
        <f t="shared" si="56"/>
        <v>-1.0580000000000001</v>
      </c>
      <c r="S174" s="111">
        <f t="shared" si="56"/>
        <v>-1.0580000000000001</v>
      </c>
      <c r="T174" s="69"/>
      <c r="U174" s="69"/>
    </row>
    <row r="175" spans="5:23" x14ac:dyDescent="0.25">
      <c r="F175" t="s">
        <v>842</v>
      </c>
      <c r="G175" s="62" t="s">
        <v>284</v>
      </c>
      <c r="H175" s="53"/>
      <c r="J175" s="111">
        <f t="shared" ref="J175:S175" si="57">$H137 * J76</f>
        <v>-1.0580000000000001</v>
      </c>
      <c r="K175" s="111">
        <f t="shared" si="57"/>
        <v>-1.0580000000000001</v>
      </c>
      <c r="L175" s="111">
        <f t="shared" si="57"/>
        <v>-1.0580000000000001</v>
      </c>
      <c r="M175" s="111">
        <f t="shared" si="57"/>
        <v>-1.0580000000000001</v>
      </c>
      <c r="N175" s="111">
        <f t="shared" si="57"/>
        <v>-1.0580000000000001</v>
      </c>
      <c r="O175" s="111">
        <f t="shared" si="57"/>
        <v>-1.0580000000000001</v>
      </c>
      <c r="P175" s="111">
        <f t="shared" si="57"/>
        <v>0</v>
      </c>
      <c r="Q175" s="111">
        <f t="shared" si="57"/>
        <v>-1.0580000000000001</v>
      </c>
      <c r="R175" s="111">
        <f t="shared" si="57"/>
        <v>-1.0580000000000001</v>
      </c>
      <c r="S175" s="111">
        <f t="shared" si="57"/>
        <v>-1.0580000000000001</v>
      </c>
      <c r="T175" s="69"/>
      <c r="U175" s="69"/>
    </row>
    <row r="176" spans="5:23" x14ac:dyDescent="0.25">
      <c r="F176" t="s">
        <v>834</v>
      </c>
      <c r="G176" s="62" t="s">
        <v>284</v>
      </c>
      <c r="H176" s="53"/>
      <c r="J176" s="111">
        <f t="shared" ref="J176:S176" si="58">$H138 * J77</f>
        <v>-1.0429999999999999</v>
      </c>
      <c r="K176" s="111">
        <f t="shared" si="58"/>
        <v>-1.0429999999999999</v>
      </c>
      <c r="L176" s="111">
        <f t="shared" si="58"/>
        <v>-1.0429999999999999</v>
      </c>
      <c r="M176" s="111">
        <f t="shared" si="58"/>
        <v>-1.0429999999999999</v>
      </c>
      <c r="N176" s="111">
        <f t="shared" si="58"/>
        <v>-1.0429999999999999</v>
      </c>
      <c r="O176" s="111">
        <f t="shared" si="58"/>
        <v>-1.0429999999999999</v>
      </c>
      <c r="P176" s="111">
        <f t="shared" si="58"/>
        <v>0</v>
      </c>
      <c r="Q176" s="111">
        <f t="shared" si="58"/>
        <v>-1.0429999999999999</v>
      </c>
      <c r="R176" s="111">
        <f t="shared" si="58"/>
        <v>-1.0429999999999999</v>
      </c>
      <c r="S176" s="111">
        <f t="shared" si="58"/>
        <v>0</v>
      </c>
      <c r="T176" s="69"/>
      <c r="U176" s="69"/>
    </row>
    <row r="177" spans="2:23" x14ac:dyDescent="0.25">
      <c r="F177" t="s">
        <v>841</v>
      </c>
      <c r="G177" s="62" t="s">
        <v>284</v>
      </c>
      <c r="H177" s="53"/>
      <c r="J177" s="111">
        <f t="shared" ref="J177:S177" si="59">$H139 * J78</f>
        <v>-1.0429999999999999</v>
      </c>
      <c r="K177" s="111">
        <f t="shared" si="59"/>
        <v>-1.0429999999999999</v>
      </c>
      <c r="L177" s="111">
        <f t="shared" si="59"/>
        <v>-1.0429999999999999</v>
      </c>
      <c r="M177" s="111">
        <f t="shared" si="59"/>
        <v>-1.0429999999999999</v>
      </c>
      <c r="N177" s="111">
        <f t="shared" si="59"/>
        <v>-1.0429999999999999</v>
      </c>
      <c r="O177" s="111">
        <f t="shared" si="59"/>
        <v>-1.0429999999999999</v>
      </c>
      <c r="P177" s="111">
        <f t="shared" si="59"/>
        <v>0</v>
      </c>
      <c r="Q177" s="111">
        <f t="shared" si="59"/>
        <v>-1.0429999999999999</v>
      </c>
      <c r="R177" s="111">
        <f t="shared" si="59"/>
        <v>-1.0429999999999999</v>
      </c>
      <c r="S177" s="111">
        <f t="shared" si="59"/>
        <v>0</v>
      </c>
      <c r="T177" s="69"/>
      <c r="U177" s="69"/>
    </row>
    <row r="178" spans="2:23" x14ac:dyDescent="0.25">
      <c r="F178" t="s">
        <v>835</v>
      </c>
      <c r="G178" s="62" t="s">
        <v>284</v>
      </c>
      <c r="H178" s="53"/>
      <c r="J178" s="111">
        <f t="shared" ref="J178:S178" si="60">$H140 * J79</f>
        <v>-1.0309999999999999</v>
      </c>
      <c r="K178" s="111">
        <f t="shared" si="60"/>
        <v>-1.0309999999999999</v>
      </c>
      <c r="L178" s="111">
        <f t="shared" si="60"/>
        <v>-1.0309999999999999</v>
      </c>
      <c r="M178" s="111">
        <f t="shared" si="60"/>
        <v>-1.0309999999999999</v>
      </c>
      <c r="N178" s="111">
        <f t="shared" si="60"/>
        <v>-1.0309999999999999</v>
      </c>
      <c r="O178" s="111">
        <f t="shared" si="60"/>
        <v>-1.0309999999999999</v>
      </c>
      <c r="P178" s="111">
        <f t="shared" si="60"/>
        <v>0</v>
      </c>
      <c r="Q178" s="111">
        <f t="shared" si="60"/>
        <v>-1.0309999999999999</v>
      </c>
      <c r="R178" s="111">
        <f t="shared" si="60"/>
        <v>0</v>
      </c>
      <c r="S178" s="111">
        <f t="shared" si="60"/>
        <v>0</v>
      </c>
      <c r="T178" s="69"/>
      <c r="U178" s="69"/>
    </row>
    <row r="179" spans="2:23" x14ac:dyDescent="0.25">
      <c r="F179" s="28" t="s">
        <v>840</v>
      </c>
      <c r="G179" s="70" t="s">
        <v>284</v>
      </c>
      <c r="H179" s="120"/>
      <c r="I179" s="28"/>
      <c r="J179" s="121">
        <f t="shared" ref="J179:S179" si="61">$H141 * J80</f>
        <v>-1.0309999999999999</v>
      </c>
      <c r="K179" s="121">
        <f t="shared" si="61"/>
        <v>-1.0309999999999999</v>
      </c>
      <c r="L179" s="121">
        <f t="shared" si="61"/>
        <v>-1.0309999999999999</v>
      </c>
      <c r="M179" s="121">
        <f t="shared" si="61"/>
        <v>-1.0309999999999999</v>
      </c>
      <c r="N179" s="121">
        <f t="shared" si="61"/>
        <v>-1.0309999999999999</v>
      </c>
      <c r="O179" s="121">
        <f t="shared" si="61"/>
        <v>-1.0309999999999999</v>
      </c>
      <c r="P179" s="121">
        <f t="shared" si="61"/>
        <v>0</v>
      </c>
      <c r="Q179" s="121">
        <f t="shared" si="61"/>
        <v>-1.0309999999999999</v>
      </c>
      <c r="R179" s="121">
        <f t="shared" si="61"/>
        <v>0</v>
      </c>
      <c r="S179" s="121">
        <f t="shared" si="61"/>
        <v>0</v>
      </c>
      <c r="T179" s="71"/>
      <c r="U179" s="71"/>
    </row>
    <row r="180" spans="2:23" x14ac:dyDescent="0.25">
      <c r="G180" s="12"/>
    </row>
    <row r="181" spans="2:23" x14ac:dyDescent="0.25">
      <c r="B181" s="25" t="s">
        <v>232</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233</v>
      </c>
      <c r="G183" s="6" t="s">
        <v>56</v>
      </c>
      <c r="H183" s="93">
        <f t="array" ref="H183">SUM(IF(ISERROR(H19:W181), 1))</f>
        <v>0</v>
      </c>
    </row>
    <row r="185" spans="2:23" x14ac:dyDescent="0.25">
      <c r="B185" s="25" t="s">
        <v>107</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National Grid Electricity Distribution (South West) plc - [enter data version name]</v>
      </c>
    </row>
    <row r="3" spans="1:23" s="5" customFormat="1" x14ac:dyDescent="0.25">
      <c r="A3" s="5" t="str">
        <f>Cover!D2&amp;" - "&amp;Cover!D8&amp;" v"&amp;Cover!D10&amp;" - "&amp;Cover!D19</f>
        <v>CDCM charging model - Release for charge setting v9 - 2024/25</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W5" s="51" t="s">
        <v>146</v>
      </c>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67</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181</v>
      </c>
      <c r="H18" s="3"/>
      <c r="I18" s="3" t="s">
        <v>155</v>
      </c>
      <c r="J18" s="3"/>
      <c r="K18" s="3"/>
      <c r="L18" s="3"/>
      <c r="M18" s="3"/>
      <c r="N18" s="3"/>
      <c r="O18" s="3"/>
      <c r="P18" s="3"/>
      <c r="Q18" s="3"/>
      <c r="R18" s="3"/>
      <c r="S18" s="3"/>
      <c r="T18" s="3"/>
      <c r="U18" s="3"/>
      <c r="W18" s="3" t="s">
        <v>182</v>
      </c>
    </row>
    <row r="19" spans="5:23" x14ac:dyDescent="0.25">
      <c r="E19" s="24" t="s">
        <v>183</v>
      </c>
      <c r="H19" s="3"/>
      <c r="I19" s="3"/>
      <c r="J19" s="3"/>
      <c r="K19" s="3"/>
      <c r="L19" s="3"/>
      <c r="M19" s="3"/>
      <c r="N19" s="3"/>
      <c r="O19" s="3"/>
      <c r="P19" s="3"/>
      <c r="Q19" s="3"/>
      <c r="R19" s="3"/>
      <c r="S19" s="3"/>
      <c r="T19" s="3"/>
      <c r="U19" s="3"/>
      <c r="W19" s="3"/>
    </row>
    <row r="20" spans="5:23" x14ac:dyDescent="0.25">
      <c r="F20" s="124"/>
      <c r="G20" s="124"/>
      <c r="H20" s="125"/>
      <c r="I20" s="125"/>
      <c r="J20" s="126" t="s">
        <v>184</v>
      </c>
      <c r="K20" s="126" t="s">
        <v>185</v>
      </c>
      <c r="L20" s="126" t="s">
        <v>186</v>
      </c>
      <c r="M20" s="126" t="s">
        <v>187</v>
      </c>
      <c r="O20" s="3"/>
      <c r="P20" s="3"/>
      <c r="Q20" s="3"/>
      <c r="R20" s="3"/>
      <c r="S20" s="3"/>
      <c r="T20" s="3"/>
      <c r="U20" s="3"/>
    </row>
    <row r="21" spans="5:23" x14ac:dyDescent="0.25">
      <c r="F21" s="23" t="s">
        <v>827</v>
      </c>
      <c r="G21" s="12" t="s">
        <v>177</v>
      </c>
      <c r="H21" s="3"/>
      <c r="I21" s="3"/>
      <c r="J21" s="127">
        <f t="array" ref="J21:M36">TRANSPOSE('Fixed inputs'!J53:Y56)</f>
        <v>0</v>
      </c>
      <c r="K21" s="127">
        <v>0</v>
      </c>
      <c r="L21" s="127">
        <v>0</v>
      </c>
      <c r="M21" s="127">
        <v>1</v>
      </c>
      <c r="S21" s="3"/>
      <c r="T21" s="3"/>
      <c r="U21" s="3"/>
      <c r="W21" s="3"/>
    </row>
    <row r="22" spans="5:23" x14ac:dyDescent="0.25">
      <c r="F22" s="23" t="s">
        <v>829</v>
      </c>
      <c r="G22" s="12" t="s">
        <v>177</v>
      </c>
      <c r="H22" s="3"/>
      <c r="I22" s="3"/>
      <c r="J22" s="127">
        <v>0</v>
      </c>
      <c r="K22" s="127">
        <v>0</v>
      </c>
      <c r="L22" s="127">
        <v>0</v>
      </c>
      <c r="M22" s="127">
        <v>1</v>
      </c>
      <c r="S22" s="3"/>
      <c r="T22" s="3"/>
      <c r="U22" s="3"/>
      <c r="W22" s="3"/>
    </row>
    <row r="23" spans="5:23" x14ac:dyDescent="0.25">
      <c r="F23" s="23" t="s">
        <v>828</v>
      </c>
      <c r="G23" s="12" t="s">
        <v>177</v>
      </c>
      <c r="H23" s="3"/>
      <c r="I23" s="3"/>
      <c r="J23" s="127">
        <v>0</v>
      </c>
      <c r="K23" s="127">
        <v>0</v>
      </c>
      <c r="L23" s="127">
        <v>0</v>
      </c>
      <c r="M23" s="127">
        <v>1</v>
      </c>
      <c r="S23" s="3"/>
      <c r="T23" s="3"/>
      <c r="U23" s="3"/>
      <c r="W23" s="3"/>
    </row>
    <row r="24" spans="5:23" x14ac:dyDescent="0.25">
      <c r="F24" s="23" t="s">
        <v>830</v>
      </c>
      <c r="G24" s="12" t="s">
        <v>177</v>
      </c>
      <c r="H24" s="3"/>
      <c r="I24" s="3"/>
      <c r="J24" s="127">
        <v>0</v>
      </c>
      <c r="K24" s="127">
        <v>0</v>
      </c>
      <c r="L24" s="127">
        <v>0</v>
      </c>
      <c r="M24" s="127">
        <v>1</v>
      </c>
      <c r="S24" s="3"/>
      <c r="T24" s="3"/>
      <c r="U24" s="3"/>
      <c r="W24" s="3"/>
    </row>
    <row r="25" spans="5:23" x14ac:dyDescent="0.25">
      <c r="F25" s="23" t="s">
        <v>836</v>
      </c>
      <c r="G25" s="12" t="s">
        <v>177</v>
      </c>
      <c r="H25" s="3"/>
      <c r="I25" s="3"/>
      <c r="J25" s="127">
        <v>0</v>
      </c>
      <c r="K25" s="127">
        <v>0</v>
      </c>
      <c r="L25" s="127">
        <v>0</v>
      </c>
      <c r="M25" s="127">
        <v>1</v>
      </c>
      <c r="S25" s="3"/>
      <c r="T25" s="3"/>
      <c r="U25" s="3"/>
      <c r="W25" s="3"/>
    </row>
    <row r="26" spans="5:23" x14ac:dyDescent="0.25">
      <c r="F26" s="23" t="s">
        <v>837</v>
      </c>
      <c r="G26" s="12" t="s">
        <v>177</v>
      </c>
      <c r="H26" s="3"/>
      <c r="I26" s="3"/>
      <c r="J26" s="127">
        <v>0</v>
      </c>
      <c r="K26" s="127">
        <v>0</v>
      </c>
      <c r="L26" s="127">
        <v>1</v>
      </c>
      <c r="M26" s="127">
        <v>0</v>
      </c>
      <c r="S26" s="3"/>
      <c r="T26" s="3"/>
      <c r="U26" s="3"/>
      <c r="W26" s="3"/>
    </row>
    <row r="27" spans="5:23" x14ac:dyDescent="0.25">
      <c r="F27" s="23" t="s">
        <v>838</v>
      </c>
      <c r="G27" s="12" t="s">
        <v>177</v>
      </c>
      <c r="H27" s="3"/>
      <c r="I27" s="3"/>
      <c r="J27" s="127">
        <v>0</v>
      </c>
      <c r="K27" s="127">
        <v>1</v>
      </c>
      <c r="L27" s="127">
        <v>0</v>
      </c>
      <c r="M27" s="127">
        <v>0</v>
      </c>
      <c r="S27" s="3"/>
      <c r="T27" s="3"/>
      <c r="U27" s="3"/>
      <c r="W27" s="3"/>
    </row>
    <row r="28" spans="5:23" x14ac:dyDescent="0.25">
      <c r="F28" s="23" t="s">
        <v>839</v>
      </c>
      <c r="G28" s="12" t="s">
        <v>177</v>
      </c>
      <c r="H28" s="3"/>
      <c r="I28" s="3"/>
      <c r="J28" s="127">
        <v>0</v>
      </c>
      <c r="K28" s="127">
        <v>0</v>
      </c>
      <c r="L28" s="127">
        <v>0</v>
      </c>
      <c r="M28" s="127">
        <v>1</v>
      </c>
      <c r="S28" s="3"/>
      <c r="T28" s="3"/>
      <c r="U28" s="3"/>
      <c r="W28" s="3"/>
    </row>
    <row r="29" spans="5:23" x14ac:dyDescent="0.25">
      <c r="F29" s="23" t="s">
        <v>831</v>
      </c>
      <c r="G29" s="12" t="s">
        <v>177</v>
      </c>
      <c r="H29" s="3"/>
      <c r="I29" s="3"/>
      <c r="J29" s="127">
        <v>0</v>
      </c>
      <c r="K29" s="127">
        <v>0</v>
      </c>
      <c r="L29" s="127">
        <v>0</v>
      </c>
      <c r="M29" s="127">
        <v>1</v>
      </c>
      <c r="S29" s="3"/>
      <c r="T29" s="3"/>
      <c r="U29" s="3"/>
      <c r="W29" s="3"/>
    </row>
    <row r="30" spans="5:23" x14ac:dyDescent="0.25">
      <c r="F30" s="23" t="s">
        <v>832</v>
      </c>
      <c r="G30" s="12" t="s">
        <v>177</v>
      </c>
      <c r="H30" s="3"/>
      <c r="I30" s="3"/>
      <c r="J30" s="127">
        <v>0</v>
      </c>
      <c r="K30" s="127">
        <v>0</v>
      </c>
      <c r="L30" s="127">
        <v>1</v>
      </c>
      <c r="M30" s="127">
        <v>0</v>
      </c>
      <c r="S30" s="3"/>
      <c r="T30" s="3"/>
      <c r="U30" s="3"/>
      <c r="W30" s="3"/>
    </row>
    <row r="31" spans="5:23" x14ac:dyDescent="0.25">
      <c r="F31" s="23" t="s">
        <v>833</v>
      </c>
      <c r="G31" s="12" t="s">
        <v>177</v>
      </c>
      <c r="H31" s="3"/>
      <c r="I31" s="3"/>
      <c r="J31" s="127">
        <v>0</v>
      </c>
      <c r="K31" s="127">
        <v>0</v>
      </c>
      <c r="L31" s="127">
        <v>0</v>
      </c>
      <c r="M31" s="127">
        <v>1</v>
      </c>
      <c r="S31" s="3"/>
      <c r="T31" s="3"/>
      <c r="U31" s="3"/>
      <c r="W31" s="3"/>
    </row>
    <row r="32" spans="5:23" x14ac:dyDescent="0.25">
      <c r="F32" s="23" t="s">
        <v>842</v>
      </c>
      <c r="G32" s="12" t="s">
        <v>177</v>
      </c>
      <c r="H32" s="3"/>
      <c r="I32" s="3"/>
      <c r="J32" s="127">
        <v>0</v>
      </c>
      <c r="K32" s="127">
        <v>0</v>
      </c>
      <c r="L32" s="127">
        <v>0</v>
      </c>
      <c r="M32" s="127">
        <v>1</v>
      </c>
      <c r="S32" s="3"/>
      <c r="T32" s="3"/>
      <c r="U32" s="3"/>
      <c r="W32" s="3"/>
    </row>
    <row r="33" spans="3:23" x14ac:dyDescent="0.25">
      <c r="F33" s="23" t="s">
        <v>834</v>
      </c>
      <c r="G33" s="12" t="s">
        <v>177</v>
      </c>
      <c r="H33" s="3"/>
      <c r="I33" s="3"/>
      <c r="J33" s="127">
        <v>0</v>
      </c>
      <c r="K33" s="127">
        <v>0</v>
      </c>
      <c r="L33" s="127">
        <v>1</v>
      </c>
      <c r="M33" s="127">
        <v>0</v>
      </c>
      <c r="S33" s="3"/>
      <c r="T33" s="3"/>
      <c r="U33" s="3"/>
      <c r="W33" s="3"/>
    </row>
    <row r="34" spans="3:23" x14ac:dyDescent="0.25">
      <c r="F34" s="23" t="s">
        <v>841</v>
      </c>
      <c r="G34" s="12" t="s">
        <v>177</v>
      </c>
      <c r="H34" s="3"/>
      <c r="I34" s="3"/>
      <c r="J34" s="127">
        <v>0</v>
      </c>
      <c r="K34" s="127">
        <v>0</v>
      </c>
      <c r="L34" s="127">
        <v>1</v>
      </c>
      <c r="M34" s="127">
        <v>0</v>
      </c>
      <c r="S34" s="3"/>
      <c r="T34" s="3"/>
      <c r="U34" s="3"/>
      <c r="W34" s="3"/>
    </row>
    <row r="35" spans="3:23" x14ac:dyDescent="0.25">
      <c r="F35" s="23" t="s">
        <v>835</v>
      </c>
      <c r="G35" s="12" t="s">
        <v>177</v>
      </c>
      <c r="H35" s="3"/>
      <c r="I35" s="3"/>
      <c r="J35" s="127">
        <v>0</v>
      </c>
      <c r="K35" s="127">
        <v>1</v>
      </c>
      <c r="L35" s="127">
        <v>0</v>
      </c>
      <c r="M35" s="127">
        <v>0</v>
      </c>
      <c r="S35" s="3"/>
      <c r="T35" s="3"/>
      <c r="U35" s="3"/>
      <c r="W35" s="3"/>
    </row>
    <row r="36" spans="3:23" x14ac:dyDescent="0.25">
      <c r="F36" s="57" t="s">
        <v>840</v>
      </c>
      <c r="G36" s="76" t="s">
        <v>177</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155</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190</v>
      </c>
      <c r="K42" s="130" t="s">
        <v>192</v>
      </c>
      <c r="L42" s="130" t="s">
        <v>193</v>
      </c>
      <c r="M42" s="130" t="s">
        <v>194</v>
      </c>
      <c r="N42" s="130" t="s">
        <v>195</v>
      </c>
      <c r="O42" s="130" t="s">
        <v>196</v>
      </c>
      <c r="P42" s="130" t="s">
        <v>197</v>
      </c>
      <c r="Q42" s="130" t="s">
        <v>198</v>
      </c>
      <c r="R42" s="130" t="s">
        <v>199</v>
      </c>
      <c r="S42" s="130" t="s">
        <v>200</v>
      </c>
      <c r="T42" s="130" t="s">
        <v>375</v>
      </c>
      <c r="U42" s="130" t="s">
        <v>376</v>
      </c>
    </row>
    <row r="43" spans="3:23" x14ac:dyDescent="0.25">
      <c r="F43" s="23" t="s">
        <v>187</v>
      </c>
      <c r="G43" s="62" t="s">
        <v>168</v>
      </c>
      <c r="H43" s="3"/>
      <c r="I43" s="3"/>
      <c r="J43" s="56"/>
      <c r="K43" s="56"/>
      <c r="L43" s="21">
        <f>'Inputs by network level'!L26</f>
        <v>0</v>
      </c>
      <c r="M43" s="21">
        <f>'Inputs by network level'!M26</f>
        <v>0</v>
      </c>
      <c r="N43" s="21">
        <f>'Inputs by network level'!N26</f>
        <v>0</v>
      </c>
      <c r="O43" s="21">
        <f>'Inputs by network level'!O26</f>
        <v>0.81</v>
      </c>
      <c r="P43" s="21">
        <f>'Inputs by network level'!P26</f>
        <v>0</v>
      </c>
      <c r="Q43" s="21">
        <f>'Inputs by network level'!Q26</f>
        <v>0.81</v>
      </c>
      <c r="R43" s="21">
        <f>'Inputs by network level'!R26</f>
        <v>0.95</v>
      </c>
      <c r="S43" s="21">
        <f>'Inputs by network level'!S26</f>
        <v>0.95</v>
      </c>
      <c r="T43" s="56"/>
      <c r="U43" s="56"/>
      <c r="W43" s="3"/>
    </row>
    <row r="44" spans="3:23" x14ac:dyDescent="0.25">
      <c r="F44" s="23" t="s">
        <v>186</v>
      </c>
      <c r="G44" s="62" t="s">
        <v>168</v>
      </c>
      <c r="H44" s="3"/>
      <c r="I44" s="3"/>
      <c r="J44" s="56"/>
      <c r="K44" s="56"/>
      <c r="L44" s="21">
        <f>'Inputs by network level'!L27</f>
        <v>0</v>
      </c>
      <c r="M44" s="21">
        <f>'Inputs by network level'!M27</f>
        <v>0</v>
      </c>
      <c r="N44" s="21">
        <f>'Inputs by network level'!N27</f>
        <v>0</v>
      </c>
      <c r="O44" s="21">
        <f>'Inputs by network level'!O27</f>
        <v>0.81</v>
      </c>
      <c r="P44" s="21">
        <f>'Inputs by network level'!P27</f>
        <v>0</v>
      </c>
      <c r="Q44" s="21">
        <f>'Inputs by network level'!Q27</f>
        <v>0.81</v>
      </c>
      <c r="R44" s="21">
        <f>'Inputs by network level'!R27</f>
        <v>0.95</v>
      </c>
      <c r="S44" s="21">
        <f>'Inputs by network level'!S27</f>
        <v>0</v>
      </c>
      <c r="T44" s="56"/>
      <c r="U44" s="56"/>
      <c r="W44" s="3"/>
    </row>
    <row r="45" spans="3:23" x14ac:dyDescent="0.25">
      <c r="F45" s="23" t="s">
        <v>185</v>
      </c>
      <c r="G45" s="62" t="s">
        <v>168</v>
      </c>
      <c r="H45" s="3"/>
      <c r="I45" s="3"/>
      <c r="J45" s="56"/>
      <c r="K45" s="56"/>
      <c r="L45" s="21">
        <f>'Inputs by network level'!L28</f>
        <v>0</v>
      </c>
      <c r="M45" s="21">
        <f>'Inputs by network level'!M28</f>
        <v>0.67</v>
      </c>
      <c r="N45" s="21">
        <f>'Inputs by network level'!N28</f>
        <v>0.67</v>
      </c>
      <c r="O45" s="21">
        <f>'Inputs by network level'!O28</f>
        <v>1</v>
      </c>
      <c r="P45" s="21">
        <f>'Inputs by network level'!P28</f>
        <v>0</v>
      </c>
      <c r="Q45" s="21">
        <f>'Inputs by network level'!Q28</f>
        <v>1</v>
      </c>
      <c r="R45" s="21">
        <f>'Inputs by network level'!R28</f>
        <v>0</v>
      </c>
      <c r="S45" s="21">
        <f>'Inputs by network level'!S28</f>
        <v>0</v>
      </c>
      <c r="T45" s="56"/>
      <c r="U45" s="56"/>
      <c r="W45" s="3"/>
    </row>
    <row r="46" spans="3:23" x14ac:dyDescent="0.25">
      <c r="F46" s="57" t="s">
        <v>184</v>
      </c>
      <c r="G46" s="70" t="s">
        <v>168</v>
      </c>
      <c r="H46" s="66"/>
      <c r="I46" s="66"/>
      <c r="J46" s="58"/>
      <c r="K46" s="58"/>
      <c r="L46" s="131">
        <f>'Inputs by network level'!L29</f>
        <v>0</v>
      </c>
      <c r="M46" s="131">
        <f>'Inputs by network level'!M29</f>
        <v>0.67</v>
      </c>
      <c r="N46" s="131">
        <f>'Inputs by network level'!N29</f>
        <v>0.67</v>
      </c>
      <c r="O46" s="131">
        <f>'Inputs by network level'!O29</f>
        <v>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190</v>
      </c>
      <c r="K50" s="130" t="s">
        <v>192</v>
      </c>
      <c r="L50" s="130" t="s">
        <v>193</v>
      </c>
      <c r="M50" s="130" t="s">
        <v>194</v>
      </c>
      <c r="N50" s="130" t="s">
        <v>195</v>
      </c>
      <c r="O50" s="130" t="s">
        <v>196</v>
      </c>
      <c r="P50" s="130" t="s">
        <v>197</v>
      </c>
      <c r="Q50" s="130" t="s">
        <v>198</v>
      </c>
      <c r="R50" s="130" t="s">
        <v>199</v>
      </c>
      <c r="S50" s="130" t="s">
        <v>200</v>
      </c>
      <c r="T50" s="130" t="s">
        <v>375</v>
      </c>
      <c r="U50" s="130" t="s">
        <v>376</v>
      </c>
      <c r="W50" s="3"/>
    </row>
    <row r="51" spans="5:23" x14ac:dyDescent="0.25">
      <c r="F51" s="23" t="s">
        <v>827</v>
      </c>
      <c r="G51" s="23"/>
      <c r="H51" s="62" t="s">
        <v>168</v>
      </c>
      <c r="J51" s="60"/>
      <c r="K51" s="60"/>
      <c r="L51" s="101">
        <f t="shared" ref="L51:S60" si="0">$M21 * L$43 + $L21 * L$44 + $K21 * L$45 + $J21 * L$46</f>
        <v>0</v>
      </c>
      <c r="M51" s="101">
        <f t="shared" si="0"/>
        <v>0</v>
      </c>
      <c r="N51" s="101">
        <f t="shared" si="0"/>
        <v>0</v>
      </c>
      <c r="O51" s="101">
        <f t="shared" si="0"/>
        <v>0.81</v>
      </c>
      <c r="P51" s="101">
        <f t="shared" si="0"/>
        <v>0</v>
      </c>
      <c r="Q51" s="101">
        <f t="shared" si="0"/>
        <v>0.81</v>
      </c>
      <c r="R51" s="101">
        <f t="shared" si="0"/>
        <v>0.95</v>
      </c>
      <c r="S51" s="101">
        <f t="shared" si="0"/>
        <v>0.95</v>
      </c>
      <c r="T51" s="60"/>
      <c r="U51" s="60"/>
    </row>
    <row r="52" spans="5:23" x14ac:dyDescent="0.25">
      <c r="F52" s="23" t="s">
        <v>829</v>
      </c>
      <c r="G52" s="23"/>
      <c r="H52" s="62" t="s">
        <v>168</v>
      </c>
      <c r="J52" s="60"/>
      <c r="K52" s="60"/>
      <c r="L52" s="101">
        <f t="shared" si="0"/>
        <v>0</v>
      </c>
      <c r="M52" s="101">
        <f t="shared" si="0"/>
        <v>0</v>
      </c>
      <c r="N52" s="101">
        <f t="shared" si="0"/>
        <v>0</v>
      </c>
      <c r="O52" s="101">
        <f t="shared" si="0"/>
        <v>0.81</v>
      </c>
      <c r="P52" s="101">
        <f t="shared" si="0"/>
        <v>0</v>
      </c>
      <c r="Q52" s="101">
        <f t="shared" si="0"/>
        <v>0.81</v>
      </c>
      <c r="R52" s="101">
        <f t="shared" si="0"/>
        <v>0.95</v>
      </c>
      <c r="S52" s="101">
        <f t="shared" si="0"/>
        <v>0.95</v>
      </c>
      <c r="T52" s="60"/>
      <c r="U52" s="60"/>
    </row>
    <row r="53" spans="5:23" x14ac:dyDescent="0.25">
      <c r="F53" s="23" t="s">
        <v>828</v>
      </c>
      <c r="G53" s="23"/>
      <c r="H53" s="62" t="s">
        <v>168</v>
      </c>
      <c r="J53" s="60"/>
      <c r="K53" s="60"/>
      <c r="L53" s="101">
        <f t="shared" si="0"/>
        <v>0</v>
      </c>
      <c r="M53" s="101">
        <f t="shared" si="0"/>
        <v>0</v>
      </c>
      <c r="N53" s="101">
        <f t="shared" si="0"/>
        <v>0</v>
      </c>
      <c r="O53" s="101">
        <f t="shared" si="0"/>
        <v>0.81</v>
      </c>
      <c r="P53" s="101">
        <f t="shared" si="0"/>
        <v>0</v>
      </c>
      <c r="Q53" s="101">
        <f t="shared" si="0"/>
        <v>0.81</v>
      </c>
      <c r="R53" s="101">
        <f t="shared" si="0"/>
        <v>0.95</v>
      </c>
      <c r="S53" s="101">
        <f t="shared" si="0"/>
        <v>0.95</v>
      </c>
      <c r="T53" s="60"/>
      <c r="U53" s="60"/>
    </row>
    <row r="54" spans="5:23" x14ac:dyDescent="0.25">
      <c r="F54" s="23" t="s">
        <v>830</v>
      </c>
      <c r="G54" s="23"/>
      <c r="H54" s="62" t="s">
        <v>168</v>
      </c>
      <c r="J54" s="60"/>
      <c r="K54" s="60"/>
      <c r="L54" s="101">
        <f t="shared" si="0"/>
        <v>0</v>
      </c>
      <c r="M54" s="101">
        <f t="shared" si="0"/>
        <v>0</v>
      </c>
      <c r="N54" s="101">
        <f t="shared" si="0"/>
        <v>0</v>
      </c>
      <c r="O54" s="101">
        <f t="shared" si="0"/>
        <v>0.81</v>
      </c>
      <c r="P54" s="101">
        <f t="shared" si="0"/>
        <v>0</v>
      </c>
      <c r="Q54" s="101">
        <f t="shared" si="0"/>
        <v>0.81</v>
      </c>
      <c r="R54" s="101">
        <f t="shared" si="0"/>
        <v>0.95</v>
      </c>
      <c r="S54" s="101">
        <f t="shared" si="0"/>
        <v>0.95</v>
      </c>
      <c r="T54" s="60"/>
      <c r="U54" s="60"/>
    </row>
    <row r="55" spans="5:23" x14ac:dyDescent="0.25">
      <c r="F55" s="23" t="s">
        <v>836</v>
      </c>
      <c r="G55" s="23"/>
      <c r="H55" s="62" t="s">
        <v>168</v>
      </c>
      <c r="J55" s="60"/>
      <c r="K55" s="60"/>
      <c r="L55" s="101">
        <f t="shared" si="0"/>
        <v>0</v>
      </c>
      <c r="M55" s="101">
        <f t="shared" si="0"/>
        <v>0</v>
      </c>
      <c r="N55" s="101">
        <f t="shared" si="0"/>
        <v>0</v>
      </c>
      <c r="O55" s="101">
        <f t="shared" si="0"/>
        <v>0.81</v>
      </c>
      <c r="P55" s="101">
        <f t="shared" si="0"/>
        <v>0</v>
      </c>
      <c r="Q55" s="101">
        <f t="shared" si="0"/>
        <v>0.81</v>
      </c>
      <c r="R55" s="101">
        <f t="shared" si="0"/>
        <v>0.95</v>
      </c>
      <c r="S55" s="101">
        <f t="shared" si="0"/>
        <v>0.95</v>
      </c>
      <c r="T55" s="60"/>
      <c r="U55" s="60"/>
    </row>
    <row r="56" spans="5:23" x14ac:dyDescent="0.25">
      <c r="F56" s="23" t="s">
        <v>837</v>
      </c>
      <c r="G56" s="23"/>
      <c r="H56" s="62" t="s">
        <v>168</v>
      </c>
      <c r="J56" s="60"/>
      <c r="K56" s="60"/>
      <c r="L56" s="101">
        <f t="shared" si="0"/>
        <v>0</v>
      </c>
      <c r="M56" s="101">
        <f t="shared" si="0"/>
        <v>0</v>
      </c>
      <c r="N56" s="101">
        <f t="shared" si="0"/>
        <v>0</v>
      </c>
      <c r="O56" s="101">
        <f t="shared" si="0"/>
        <v>0.81</v>
      </c>
      <c r="P56" s="101">
        <f t="shared" si="0"/>
        <v>0</v>
      </c>
      <c r="Q56" s="101">
        <f t="shared" si="0"/>
        <v>0.81</v>
      </c>
      <c r="R56" s="101">
        <f t="shared" si="0"/>
        <v>0.95</v>
      </c>
      <c r="S56" s="101">
        <f t="shared" si="0"/>
        <v>0</v>
      </c>
      <c r="T56" s="60"/>
      <c r="U56" s="60"/>
    </row>
    <row r="57" spans="5:23" x14ac:dyDescent="0.25">
      <c r="F57" s="23" t="s">
        <v>838</v>
      </c>
      <c r="G57" s="23"/>
      <c r="H57" s="62" t="s">
        <v>168</v>
      </c>
      <c r="J57" s="60"/>
      <c r="K57" s="60"/>
      <c r="L57" s="101">
        <f t="shared" si="0"/>
        <v>0</v>
      </c>
      <c r="M57" s="101">
        <f t="shared" si="0"/>
        <v>0.67</v>
      </c>
      <c r="N57" s="101">
        <f t="shared" si="0"/>
        <v>0.67</v>
      </c>
      <c r="O57" s="101">
        <f t="shared" si="0"/>
        <v>1</v>
      </c>
      <c r="P57" s="101">
        <f t="shared" si="0"/>
        <v>0</v>
      </c>
      <c r="Q57" s="101">
        <f t="shared" si="0"/>
        <v>1</v>
      </c>
      <c r="R57" s="101">
        <f t="shared" si="0"/>
        <v>0</v>
      </c>
      <c r="S57" s="101">
        <f t="shared" si="0"/>
        <v>0</v>
      </c>
      <c r="T57" s="60"/>
      <c r="U57" s="60"/>
    </row>
    <row r="58" spans="5:23" x14ac:dyDescent="0.25">
      <c r="F58" s="23" t="s">
        <v>839</v>
      </c>
      <c r="G58" s="23"/>
      <c r="H58" s="62" t="s">
        <v>168</v>
      </c>
      <c r="J58" s="60"/>
      <c r="K58" s="60"/>
      <c r="L58" s="101">
        <f t="shared" si="0"/>
        <v>0</v>
      </c>
      <c r="M58" s="101">
        <f t="shared" si="0"/>
        <v>0</v>
      </c>
      <c r="N58" s="101">
        <f t="shared" si="0"/>
        <v>0</v>
      </c>
      <c r="O58" s="101">
        <f t="shared" si="0"/>
        <v>0.81</v>
      </c>
      <c r="P58" s="101">
        <f t="shared" si="0"/>
        <v>0</v>
      </c>
      <c r="Q58" s="101">
        <f t="shared" si="0"/>
        <v>0.81</v>
      </c>
      <c r="R58" s="101">
        <f t="shared" si="0"/>
        <v>0.95</v>
      </c>
      <c r="S58" s="101">
        <f t="shared" si="0"/>
        <v>0.95</v>
      </c>
      <c r="T58" s="60"/>
      <c r="U58" s="60"/>
    </row>
    <row r="59" spans="5:23" x14ac:dyDescent="0.25">
      <c r="F59" s="23" t="s">
        <v>831</v>
      </c>
      <c r="G59" s="23"/>
      <c r="H59" s="62" t="s">
        <v>168</v>
      </c>
      <c r="J59" s="60"/>
      <c r="K59" s="60"/>
      <c r="L59" s="101">
        <f t="shared" si="0"/>
        <v>0</v>
      </c>
      <c r="M59" s="101">
        <f t="shared" si="0"/>
        <v>0</v>
      </c>
      <c r="N59" s="101">
        <f t="shared" si="0"/>
        <v>0</v>
      </c>
      <c r="O59" s="101">
        <f t="shared" si="0"/>
        <v>0.81</v>
      </c>
      <c r="P59" s="101">
        <f t="shared" si="0"/>
        <v>0</v>
      </c>
      <c r="Q59" s="101">
        <f t="shared" si="0"/>
        <v>0.81</v>
      </c>
      <c r="R59" s="101">
        <f t="shared" si="0"/>
        <v>0.95</v>
      </c>
      <c r="S59" s="101">
        <f t="shared" si="0"/>
        <v>0.95</v>
      </c>
      <c r="T59" s="60"/>
      <c r="U59" s="60"/>
    </row>
    <row r="60" spans="5:23" x14ac:dyDescent="0.25">
      <c r="F60" s="23" t="s">
        <v>832</v>
      </c>
      <c r="G60" s="23"/>
      <c r="H60" s="62" t="s">
        <v>168</v>
      </c>
      <c r="J60" s="60"/>
      <c r="K60" s="60"/>
      <c r="L60" s="101">
        <f t="shared" si="0"/>
        <v>0</v>
      </c>
      <c r="M60" s="101">
        <f t="shared" si="0"/>
        <v>0</v>
      </c>
      <c r="N60" s="101">
        <f t="shared" si="0"/>
        <v>0</v>
      </c>
      <c r="O60" s="101">
        <f t="shared" si="0"/>
        <v>0.81</v>
      </c>
      <c r="P60" s="101">
        <f t="shared" si="0"/>
        <v>0</v>
      </c>
      <c r="Q60" s="101">
        <f t="shared" si="0"/>
        <v>0.81</v>
      </c>
      <c r="R60" s="101">
        <f t="shared" si="0"/>
        <v>0.95</v>
      </c>
      <c r="S60" s="101">
        <f t="shared" si="0"/>
        <v>0</v>
      </c>
      <c r="T60" s="60"/>
      <c r="U60" s="60"/>
    </row>
    <row r="61" spans="5:23" x14ac:dyDescent="0.25">
      <c r="F61" s="23" t="s">
        <v>833</v>
      </c>
      <c r="G61" s="23"/>
      <c r="H61" s="62" t="s">
        <v>168</v>
      </c>
      <c r="J61" s="60"/>
      <c r="K61" s="60"/>
      <c r="L61" s="101">
        <f t="shared" ref="L61:S66" si="1">$M31 * L$43 + $L31 * L$44 + $K31 * L$45 + $J31 * L$46</f>
        <v>0</v>
      </c>
      <c r="M61" s="101">
        <f t="shared" si="1"/>
        <v>0</v>
      </c>
      <c r="N61" s="101">
        <f t="shared" si="1"/>
        <v>0</v>
      </c>
      <c r="O61" s="101">
        <f t="shared" si="1"/>
        <v>0.81</v>
      </c>
      <c r="P61" s="101">
        <f t="shared" si="1"/>
        <v>0</v>
      </c>
      <c r="Q61" s="101">
        <f t="shared" si="1"/>
        <v>0.81</v>
      </c>
      <c r="R61" s="101">
        <f t="shared" si="1"/>
        <v>0.95</v>
      </c>
      <c r="S61" s="101">
        <f t="shared" si="1"/>
        <v>0.95</v>
      </c>
      <c r="T61" s="60"/>
      <c r="U61" s="60"/>
    </row>
    <row r="62" spans="5:23" x14ac:dyDescent="0.25">
      <c r="F62" s="23" t="s">
        <v>842</v>
      </c>
      <c r="G62" s="23"/>
      <c r="H62" s="62" t="s">
        <v>168</v>
      </c>
      <c r="J62" s="60"/>
      <c r="K62" s="60"/>
      <c r="L62" s="101">
        <f t="shared" si="1"/>
        <v>0</v>
      </c>
      <c r="M62" s="101">
        <f t="shared" si="1"/>
        <v>0</v>
      </c>
      <c r="N62" s="101">
        <f t="shared" si="1"/>
        <v>0</v>
      </c>
      <c r="O62" s="101">
        <f t="shared" si="1"/>
        <v>0.81</v>
      </c>
      <c r="P62" s="101">
        <f t="shared" si="1"/>
        <v>0</v>
      </c>
      <c r="Q62" s="101">
        <f t="shared" si="1"/>
        <v>0.81</v>
      </c>
      <c r="R62" s="101">
        <f t="shared" si="1"/>
        <v>0.95</v>
      </c>
      <c r="S62" s="101">
        <f t="shared" si="1"/>
        <v>0.95</v>
      </c>
      <c r="T62" s="60"/>
      <c r="U62" s="60"/>
    </row>
    <row r="63" spans="5:23" x14ac:dyDescent="0.25">
      <c r="F63" s="23" t="s">
        <v>834</v>
      </c>
      <c r="G63" s="23"/>
      <c r="H63" s="62" t="s">
        <v>168</v>
      </c>
      <c r="J63" s="60"/>
      <c r="K63" s="60"/>
      <c r="L63" s="101">
        <f t="shared" si="1"/>
        <v>0</v>
      </c>
      <c r="M63" s="101">
        <f t="shared" si="1"/>
        <v>0</v>
      </c>
      <c r="N63" s="101">
        <f t="shared" si="1"/>
        <v>0</v>
      </c>
      <c r="O63" s="101">
        <f t="shared" si="1"/>
        <v>0.81</v>
      </c>
      <c r="P63" s="101">
        <f t="shared" si="1"/>
        <v>0</v>
      </c>
      <c r="Q63" s="101">
        <f t="shared" si="1"/>
        <v>0.81</v>
      </c>
      <c r="R63" s="101">
        <f t="shared" si="1"/>
        <v>0.95</v>
      </c>
      <c r="S63" s="101">
        <f t="shared" si="1"/>
        <v>0</v>
      </c>
      <c r="T63" s="60"/>
      <c r="U63" s="60"/>
    </row>
    <row r="64" spans="5:23" x14ac:dyDescent="0.25">
      <c r="F64" s="23" t="s">
        <v>841</v>
      </c>
      <c r="G64" s="23"/>
      <c r="H64" s="62" t="s">
        <v>168</v>
      </c>
      <c r="J64" s="60"/>
      <c r="K64" s="60"/>
      <c r="L64" s="101">
        <f t="shared" si="1"/>
        <v>0</v>
      </c>
      <c r="M64" s="101">
        <f t="shared" si="1"/>
        <v>0</v>
      </c>
      <c r="N64" s="101">
        <f t="shared" si="1"/>
        <v>0</v>
      </c>
      <c r="O64" s="101">
        <f t="shared" si="1"/>
        <v>0.81</v>
      </c>
      <c r="P64" s="101">
        <f t="shared" si="1"/>
        <v>0</v>
      </c>
      <c r="Q64" s="101">
        <f t="shared" si="1"/>
        <v>0.81</v>
      </c>
      <c r="R64" s="101">
        <f t="shared" si="1"/>
        <v>0.95</v>
      </c>
      <c r="S64" s="101">
        <f t="shared" si="1"/>
        <v>0</v>
      </c>
      <c r="T64" s="60"/>
      <c r="U64" s="60"/>
    </row>
    <row r="65" spans="2:23" x14ac:dyDescent="0.25">
      <c r="F65" s="23" t="s">
        <v>835</v>
      </c>
      <c r="G65" s="23"/>
      <c r="H65" s="62" t="s">
        <v>168</v>
      </c>
      <c r="J65" s="60"/>
      <c r="K65" s="60"/>
      <c r="L65" s="101">
        <f t="shared" si="1"/>
        <v>0</v>
      </c>
      <c r="M65" s="101">
        <f t="shared" si="1"/>
        <v>0.67</v>
      </c>
      <c r="N65" s="101">
        <f t="shared" si="1"/>
        <v>0.67</v>
      </c>
      <c r="O65" s="101">
        <f t="shared" si="1"/>
        <v>1</v>
      </c>
      <c r="P65" s="101">
        <f t="shared" si="1"/>
        <v>0</v>
      </c>
      <c r="Q65" s="101">
        <f t="shared" si="1"/>
        <v>1</v>
      </c>
      <c r="R65" s="101">
        <f t="shared" si="1"/>
        <v>0</v>
      </c>
      <c r="S65" s="101">
        <f t="shared" si="1"/>
        <v>0</v>
      </c>
      <c r="T65" s="60"/>
      <c r="U65" s="60"/>
    </row>
    <row r="66" spans="2:23" x14ac:dyDescent="0.25">
      <c r="F66" s="57" t="s">
        <v>840</v>
      </c>
      <c r="G66" s="57"/>
      <c r="H66" s="70" t="s">
        <v>168</v>
      </c>
      <c r="I66" s="28"/>
      <c r="J66" s="61"/>
      <c r="K66" s="61"/>
      <c r="L66" s="133">
        <f t="shared" si="1"/>
        <v>0</v>
      </c>
      <c r="M66" s="133">
        <f t="shared" si="1"/>
        <v>0.67</v>
      </c>
      <c r="N66" s="133">
        <f t="shared" si="1"/>
        <v>0.67</v>
      </c>
      <c r="O66" s="133">
        <f t="shared" si="1"/>
        <v>1</v>
      </c>
      <c r="P66" s="133">
        <f t="shared" si="1"/>
        <v>0</v>
      </c>
      <c r="Q66" s="133">
        <f t="shared" si="1"/>
        <v>1</v>
      </c>
      <c r="R66" s="133">
        <f t="shared" si="1"/>
        <v>0</v>
      </c>
      <c r="S66" s="133">
        <f t="shared" si="1"/>
        <v>0</v>
      </c>
      <c r="T66" s="61"/>
      <c r="U66" s="61"/>
    </row>
    <row r="68" spans="2:23" x14ac:dyDescent="0.25">
      <c r="B68" s="25" t="s">
        <v>232</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233</v>
      </c>
      <c r="G70" s="6" t="s">
        <v>56</v>
      </c>
      <c r="H70" s="93">
        <f t="array" ref="H70">SUM(IF(ISERROR(H21:U66), 1))</f>
        <v>0</v>
      </c>
    </row>
    <row r="72" spans="2:23" x14ac:dyDescent="0.25">
      <c r="B72" s="25" t="s">
        <v>107</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155</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176</v>
      </c>
      <c r="G22" s="19" t="s">
        <v>168</v>
      </c>
      <c r="H22" s="97">
        <f>'General inputs'!H30</f>
        <v>0.39058025506328897</v>
      </c>
      <c r="AQ22" s="3"/>
    </row>
    <row r="23" spans="4:43" x14ac:dyDescent="0.25">
      <c r="F23" t="s">
        <v>178</v>
      </c>
      <c r="G23" t="s">
        <v>168</v>
      </c>
      <c r="H23" s="21">
        <f>'General inputs'!H31</f>
        <v>0.5844622071010992</v>
      </c>
      <c r="AQ23" s="3"/>
    </row>
    <row r="24" spans="4:43" x14ac:dyDescent="0.25">
      <c r="F24" t="s">
        <v>179</v>
      </c>
      <c r="G24" t="s">
        <v>168</v>
      </c>
      <c r="H24" s="21">
        <f>'General inputs'!H32</f>
        <v>0.30237542617520075</v>
      </c>
      <c r="AQ24" s="3"/>
    </row>
    <row r="25" spans="4:43" x14ac:dyDescent="0.25">
      <c r="F25" s="28" t="s">
        <v>180</v>
      </c>
      <c r="G25" s="28" t="s">
        <v>168</v>
      </c>
      <c r="H25" s="131">
        <f>'General inputs'!H33</f>
        <v>0.17250073175528055</v>
      </c>
      <c r="AQ25" s="3"/>
    </row>
    <row r="27" spans="4:43" x14ac:dyDescent="0.25">
      <c r="E27" s="27" t="s">
        <v>426</v>
      </c>
      <c r="I27" t="s">
        <v>155</v>
      </c>
      <c r="AA27" t="s">
        <v>427</v>
      </c>
      <c r="AQ27" s="3"/>
    </row>
    <row r="28" spans="4:43" x14ac:dyDescent="0.25">
      <c r="E28" s="24" t="s">
        <v>428</v>
      </c>
    </row>
    <row r="29" spans="4:43" x14ac:dyDescent="0.25">
      <c r="E29" s="24" t="s">
        <v>429</v>
      </c>
    </row>
    <row r="30" spans="4:43" x14ac:dyDescent="0.25">
      <c r="F30" s="19" t="s">
        <v>176</v>
      </c>
      <c r="G30" s="19" t="s">
        <v>177</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178</v>
      </c>
      <c r="G31" t="s">
        <v>177</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179</v>
      </c>
      <c r="G32" t="s">
        <v>177</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180</v>
      </c>
      <c r="G33" s="28" t="s">
        <v>177</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168</v>
      </c>
      <c r="J34" s="135">
        <f t="shared" ref="J34:Y34" si="0">J30 * $H$22</f>
        <v>0.39058025506328897</v>
      </c>
      <c r="K34" s="135">
        <f t="shared" si="0"/>
        <v>0.39058025506328897</v>
      </c>
      <c r="L34" s="135">
        <f t="shared" si="0"/>
        <v>0.39058025506328897</v>
      </c>
      <c r="M34" s="135">
        <f t="shared" si="0"/>
        <v>0.39058025506328897</v>
      </c>
      <c r="N34" s="135">
        <f t="shared" si="0"/>
        <v>0.39058025506328897</v>
      </c>
      <c r="O34" s="135">
        <f t="shared" si="0"/>
        <v>0</v>
      </c>
      <c r="P34" s="135">
        <f t="shared" si="0"/>
        <v>0</v>
      </c>
      <c r="Q34" s="135">
        <f t="shared" si="0"/>
        <v>0.39058025506328897</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168</v>
      </c>
      <c r="J35" s="135">
        <f t="shared" ref="J35:Y35" si="1">SUMPRODUCT(J31:J33,$H$23:$H$25)</f>
        <v>0.5844622071010992</v>
      </c>
      <c r="K35" s="135">
        <f t="shared" si="1"/>
        <v>0.5844622071010992</v>
      </c>
      <c r="L35" s="135">
        <f t="shared" si="1"/>
        <v>0.5844622071010992</v>
      </c>
      <c r="M35" s="135">
        <f t="shared" si="1"/>
        <v>0.5844622071010992</v>
      </c>
      <c r="N35" s="135">
        <f t="shared" si="1"/>
        <v>0.5844622071010992</v>
      </c>
      <c r="O35" s="135">
        <f t="shared" si="1"/>
        <v>0.30237542617520075</v>
      </c>
      <c r="P35" s="135">
        <f t="shared" si="1"/>
        <v>0.17250073175528055</v>
      </c>
      <c r="Q35" s="135">
        <f t="shared" si="1"/>
        <v>0.5844622071010992</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155</v>
      </c>
      <c r="AA37" t="s">
        <v>427</v>
      </c>
      <c r="AQ37" s="3"/>
    </row>
    <row r="38" spans="4:43" x14ac:dyDescent="0.25">
      <c r="E38" s="24" t="s">
        <v>433</v>
      </c>
    </row>
    <row r="39" spans="4:43" x14ac:dyDescent="0.25">
      <c r="F39" s="23" t="s">
        <v>434</v>
      </c>
      <c r="G39" s="23" t="s">
        <v>210</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210</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210</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210</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210</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168</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168</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168</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168</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168</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155</v>
      </c>
      <c r="AQ57" s="3"/>
    </row>
    <row r="58" spans="2:43" x14ac:dyDescent="0.25">
      <c r="C58" s="24"/>
      <c r="E58" s="27"/>
      <c r="F58" s="68" t="s">
        <v>248</v>
      </c>
      <c r="G58" s="68" t="s">
        <v>208</v>
      </c>
      <c r="H58" s="19"/>
      <c r="I58" s="19"/>
      <c r="J58" s="73"/>
      <c r="K58" s="114">
        <f>'Inputs by customer type'!K23</f>
        <v>35.655431680661394</v>
      </c>
      <c r="L58" s="114">
        <f>'Inputs by customer type'!L23</f>
        <v>1.9523606526883828</v>
      </c>
      <c r="M58" s="114">
        <f>'Inputs by customer type'!M23</f>
        <v>26.359392987120788</v>
      </c>
      <c r="N58" s="114">
        <f>'Inputs by customer type'!N23</f>
        <v>111.75875708433344</v>
      </c>
      <c r="O58" s="114">
        <f>'Inputs by customer type'!O23</f>
        <v>40.110581451170553</v>
      </c>
      <c r="P58" s="114">
        <f>'Inputs by customer type'!P23</f>
        <v>389.73469971862858</v>
      </c>
      <c r="Q58" s="73"/>
      <c r="R58" s="114">
        <f>'Inputs by customer type'!R23</f>
        <v>449.17098617729391</v>
      </c>
      <c r="S58" s="114">
        <f>'Inputs by customer type'!S23</f>
        <v>0</v>
      </c>
      <c r="T58" s="114">
        <f>'Inputs by customer type'!T23</f>
        <v>3293.4038045794673</v>
      </c>
      <c r="U58" s="114">
        <f>'Inputs by customer type'!U23</f>
        <v>0</v>
      </c>
      <c r="V58" s="114">
        <f>'Inputs by customer type'!V23</f>
        <v>811.80541464978148</v>
      </c>
      <c r="W58" s="114">
        <f>'Inputs by customer type'!W23</f>
        <v>0</v>
      </c>
      <c r="X58" s="114">
        <f>'Inputs by customer type'!X23</f>
        <v>36268.325369716345</v>
      </c>
      <c r="Y58" s="114">
        <f>'Inputs by customer type'!Y23</f>
        <v>0</v>
      </c>
      <c r="AQ58" s="3"/>
    </row>
    <row r="59" spans="2:43" x14ac:dyDescent="0.25">
      <c r="E59" s="27"/>
      <c r="F59" s="62" t="s">
        <v>249</v>
      </c>
      <c r="G59" s="62" t="s">
        <v>208</v>
      </c>
      <c r="J59" s="316"/>
      <c r="K59" s="318">
        <f>'Inputs by customer type'!K24</f>
        <v>3242.2928055299481</v>
      </c>
      <c r="L59" s="318">
        <f>'Inputs by customer type'!L24</f>
        <v>15.580031406218163</v>
      </c>
      <c r="M59" s="318">
        <f>'Inputs by customer type'!M24</f>
        <v>1539.4768248033429</v>
      </c>
      <c r="N59" s="318">
        <f>'Inputs by customer type'!N24</f>
        <v>806.29455203102941</v>
      </c>
      <c r="O59" s="318">
        <f>'Inputs by customer type'!O24</f>
        <v>294.40620957134337</v>
      </c>
      <c r="P59" s="318">
        <f>'Inputs by customer type'!P24</f>
        <v>2707.3592560779016</v>
      </c>
      <c r="Q59" s="316"/>
      <c r="R59" s="318">
        <f>'Inputs by customer type'!R24</f>
        <v>4233.9521820488117</v>
      </c>
      <c r="S59" s="318">
        <f>'Inputs by customer type'!S24</f>
        <v>0</v>
      </c>
      <c r="T59" s="318">
        <f>'Inputs by customer type'!T24</f>
        <v>31747.078256598921</v>
      </c>
      <c r="U59" s="318">
        <f>'Inputs by customer type'!U24</f>
        <v>0</v>
      </c>
      <c r="V59" s="318">
        <f>'Inputs by customer type'!V24</f>
        <v>7185.4690196373358</v>
      </c>
      <c r="W59" s="318">
        <f>'Inputs by customer type'!W24</f>
        <v>0</v>
      </c>
      <c r="X59" s="318">
        <f>'Inputs by customer type'!X24</f>
        <v>289073.53494591836</v>
      </c>
      <c r="Y59" s="318">
        <f>'Inputs by customer type'!Y24</f>
        <v>0</v>
      </c>
      <c r="AQ59" s="3"/>
    </row>
    <row r="60" spans="2:43" x14ac:dyDescent="0.25">
      <c r="E60" s="27"/>
      <c r="F60" s="62" t="s">
        <v>250</v>
      </c>
      <c r="G60" s="62" t="s">
        <v>208</v>
      </c>
      <c r="J60" s="316"/>
      <c r="K60" s="318">
        <f>'Inputs by customer type'!K25</f>
        <v>25948.408931906615</v>
      </c>
      <c r="L60" s="318">
        <f>'Inputs by customer type'!L25</f>
        <v>13.281998779444473</v>
      </c>
      <c r="M60" s="318">
        <f>'Inputs by customer type'!M25</f>
        <v>10781.362867132962</v>
      </c>
      <c r="N60" s="318">
        <f>'Inputs by customer type'!N25</f>
        <v>717.48676559114074</v>
      </c>
      <c r="O60" s="318">
        <f>'Inputs by customer type'!O25</f>
        <v>290.56134775367269</v>
      </c>
      <c r="P60" s="318">
        <f>'Inputs by customer type'!P25</f>
        <v>3080.9106951208073</v>
      </c>
      <c r="Q60" s="316"/>
      <c r="R60" s="318">
        <f>'Inputs by customer type'!R25</f>
        <v>2141.8426596998402</v>
      </c>
      <c r="S60" s="318">
        <f>'Inputs by customer type'!S25</f>
        <v>0</v>
      </c>
      <c r="T60" s="318">
        <f>'Inputs by customer type'!T25</f>
        <v>27458.669337650925</v>
      </c>
      <c r="U60" s="318">
        <f>'Inputs by customer type'!U25</f>
        <v>0</v>
      </c>
      <c r="V60" s="318">
        <f>'Inputs by customer type'!V25</f>
        <v>6962.9505694314412</v>
      </c>
      <c r="W60" s="318">
        <f>'Inputs by customer type'!W25</f>
        <v>0</v>
      </c>
      <c r="X60" s="318">
        <f>'Inputs by customer type'!X25</f>
        <v>234787.57468174878</v>
      </c>
      <c r="Y60" s="318">
        <f>'Inputs by customer type'!Y25</f>
        <v>0</v>
      </c>
      <c r="AQ60" s="3"/>
    </row>
    <row r="61" spans="2:43" x14ac:dyDescent="0.25">
      <c r="E61" s="27"/>
      <c r="F61" s="62" t="s">
        <v>213</v>
      </c>
      <c r="G61" s="62" t="s">
        <v>213</v>
      </c>
      <c r="J61" s="316"/>
      <c r="K61" s="318">
        <f>'Inputs by customer type'!K26</f>
        <v>0</v>
      </c>
      <c r="L61" s="318">
        <f>'Inputs by customer type'!L26</f>
        <v>56.772481327714715</v>
      </c>
      <c r="M61" s="318">
        <f>'Inputs by customer type'!M26</f>
        <v>0</v>
      </c>
      <c r="N61" s="318">
        <f>'Inputs by customer type'!N26</f>
        <v>57.987950621209734</v>
      </c>
      <c r="O61" s="318">
        <f>'Inputs by customer type'!O26</f>
        <v>7.9998126031526322</v>
      </c>
      <c r="P61" s="318">
        <f>'Inputs by customer type'!P26</f>
        <v>142.99658547212053</v>
      </c>
      <c r="Q61" s="316"/>
      <c r="R61" s="318">
        <f>'Inputs by customer type'!R26</f>
        <v>0</v>
      </c>
      <c r="S61" s="318">
        <f>'Inputs by customer type'!S26</f>
        <v>0</v>
      </c>
      <c r="T61" s="318">
        <f>'Inputs by customer type'!T26</f>
        <v>0</v>
      </c>
      <c r="U61" s="318">
        <f>'Inputs by customer type'!U26</f>
        <v>0</v>
      </c>
      <c r="V61" s="318">
        <f>'Inputs by customer type'!V26</f>
        <v>0</v>
      </c>
      <c r="W61" s="318">
        <f>'Inputs by customer type'!W26</f>
        <v>0</v>
      </c>
      <c r="X61" s="318">
        <f>'Inputs by customer type'!X26</f>
        <v>272.95468099853321</v>
      </c>
      <c r="Y61" s="318">
        <f>'Inputs by customer type'!Y26</f>
        <v>0</v>
      </c>
      <c r="AQ61" s="3"/>
    </row>
    <row r="62" spans="2:43" x14ac:dyDescent="0.25">
      <c r="E62" s="27"/>
      <c r="F62" s="62" t="s">
        <v>251</v>
      </c>
      <c r="G62" s="62" t="s">
        <v>252</v>
      </c>
      <c r="J62" s="316"/>
      <c r="K62" s="318">
        <f>'Inputs by customer type'!K27</f>
        <v>0</v>
      </c>
      <c r="L62" s="318">
        <f>'Inputs by customer type'!L27</f>
        <v>0</v>
      </c>
      <c r="M62" s="318">
        <f>'Inputs by customer type'!M27</f>
        <v>0</v>
      </c>
      <c r="N62" s="318">
        <f>'Inputs by customer type'!N27</f>
        <v>1922.0391617832861</v>
      </c>
      <c r="O62" s="318">
        <f>'Inputs by customer type'!O27</f>
        <v>700.00898471496794</v>
      </c>
      <c r="P62" s="318">
        <f>'Inputs by customer type'!P27</f>
        <v>20430.52101430605</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25">
      <c r="E63" s="27"/>
      <c r="F63" s="62" t="s">
        <v>253</v>
      </c>
      <c r="G63" s="62" t="s">
        <v>252</v>
      </c>
      <c r="J63" s="316"/>
      <c r="K63" s="318">
        <f>'Inputs by customer type'!K28</f>
        <v>0</v>
      </c>
      <c r="L63" s="318">
        <f>'Inputs by customer type'!L28</f>
        <v>0</v>
      </c>
      <c r="M63" s="318">
        <f>'Inputs by customer type'!M28</f>
        <v>0</v>
      </c>
      <c r="N63" s="318">
        <f>'Inputs by customer type'!N28</f>
        <v>318.43570274788664</v>
      </c>
      <c r="O63" s="318">
        <f>'Inputs by customer type'!O28</f>
        <v>29.468858762938101</v>
      </c>
      <c r="P63" s="318">
        <f>'Inputs by customer type'!P28</f>
        <v>851.6203571790702</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25">
      <c r="E64" s="27"/>
      <c r="F64" s="70" t="s">
        <v>254</v>
      </c>
      <c r="G64" s="70" t="s">
        <v>255</v>
      </c>
      <c r="H64" s="28"/>
      <c r="I64" s="28"/>
      <c r="J64" s="71"/>
      <c r="K64" s="115">
        <f>'Inputs by customer type'!K29</f>
        <v>0</v>
      </c>
      <c r="L64" s="115">
        <f>'Inputs by customer type'!L29</f>
        <v>0</v>
      </c>
      <c r="M64" s="115">
        <f>'Inputs by customer type'!M29</f>
        <v>0</v>
      </c>
      <c r="N64" s="115">
        <f>'Inputs by customer type'!N29</f>
        <v>478.10127999322674</v>
      </c>
      <c r="O64" s="115">
        <f>'Inputs by customer type'!O29</f>
        <v>244.17019087212714</v>
      </c>
      <c r="P64" s="115">
        <f>'Inputs by customer type'!P29</f>
        <v>4111.7595823091997</v>
      </c>
      <c r="Q64" s="71"/>
      <c r="R64" s="115">
        <f>'Inputs by customer type'!R29</f>
        <v>0</v>
      </c>
      <c r="S64" s="115">
        <f>'Inputs by customer type'!S29</f>
        <v>0</v>
      </c>
      <c r="T64" s="115">
        <f>'Inputs by customer type'!T29</f>
        <v>5013.3740000000007</v>
      </c>
      <c r="U64" s="115">
        <f>'Inputs by customer type'!U29</f>
        <v>0</v>
      </c>
      <c r="V64" s="115">
        <f>'Inputs by customer type'!V29</f>
        <v>1539.6130000000001</v>
      </c>
      <c r="W64" s="115">
        <f>'Inputs by customer type'!W29</f>
        <v>0</v>
      </c>
      <c r="X64" s="115">
        <f>'Inputs by customer type'!X29</f>
        <v>7641.41</v>
      </c>
      <c r="Y64" s="115">
        <f>'Inputs by customer type'!Y29</f>
        <v>0</v>
      </c>
      <c r="AQ64" s="3"/>
    </row>
    <row r="65" spans="3:43" x14ac:dyDescent="0.25">
      <c r="C65" s="24"/>
      <c r="AQ65" s="3"/>
    </row>
    <row r="66" spans="3:43" x14ac:dyDescent="0.25">
      <c r="C66" s="24"/>
      <c r="E66" s="27" t="s">
        <v>944</v>
      </c>
      <c r="G66" s="12"/>
      <c r="I66" t="s">
        <v>155</v>
      </c>
      <c r="AQ66" s="3"/>
    </row>
    <row r="67" spans="3:43" x14ac:dyDescent="0.25">
      <c r="C67" s="24"/>
      <c r="E67" s="27"/>
      <c r="F67" s="68" t="s">
        <v>248</v>
      </c>
      <c r="G67" s="68" t="s">
        <v>208</v>
      </c>
      <c r="H67" s="19"/>
      <c r="I67" s="19"/>
      <c r="J67" s="114">
        <f>'Inputs by customer type'!J32</f>
        <v>420426.20138777059</v>
      </c>
      <c r="K67" s="73"/>
      <c r="L67" s="114">
        <f>'Inputs by customer type'!L32</f>
        <v>5210.3708476135234</v>
      </c>
      <c r="M67" s="73"/>
      <c r="N67" s="114">
        <f>'Inputs by customer type'!N32</f>
        <v>25700.169383843495</v>
      </c>
      <c r="O67" s="114">
        <f>'Inputs by customer type'!O32</f>
        <v>2560.5755361247989</v>
      </c>
      <c r="P67" s="114">
        <f>'Inputs by customer type'!P32</f>
        <v>11809.863756749297</v>
      </c>
      <c r="Q67" s="114">
        <f>'Inputs by customer type'!Q32</f>
        <v>3026.8327703338973</v>
      </c>
      <c r="R67" s="73"/>
      <c r="S67" s="73"/>
      <c r="T67" s="73"/>
      <c r="U67" s="73"/>
      <c r="V67" s="73"/>
      <c r="W67" s="73"/>
      <c r="X67" s="73"/>
      <c r="Y67" s="73"/>
      <c r="AQ67" s="3"/>
    </row>
    <row r="68" spans="3:43" x14ac:dyDescent="0.25">
      <c r="E68" s="27"/>
      <c r="F68" s="62" t="s">
        <v>249</v>
      </c>
      <c r="G68" s="62" t="s">
        <v>208</v>
      </c>
      <c r="J68" s="318">
        <f>'Inputs by customer type'!J33</f>
        <v>2200865.0471394388</v>
      </c>
      <c r="K68" s="316"/>
      <c r="L68" s="318">
        <f>'Inputs by customer type'!L33</f>
        <v>41579.275495068614</v>
      </c>
      <c r="M68" s="316"/>
      <c r="N68" s="318">
        <f>'Inputs by customer type'!N33</f>
        <v>185416.4013727431</v>
      </c>
      <c r="O68" s="318">
        <f>'Inputs by customer type'!O33</f>
        <v>18794.275989973532</v>
      </c>
      <c r="P68" s="318">
        <f>'Inputs by customer type'!P33</f>
        <v>82039.253825583539</v>
      </c>
      <c r="Q68" s="318">
        <f>'Inputs by customer type'!Q33</f>
        <v>28127.672923672086</v>
      </c>
      <c r="R68" s="316"/>
      <c r="S68" s="316"/>
      <c r="T68" s="316"/>
      <c r="U68" s="316"/>
      <c r="V68" s="316"/>
      <c r="W68" s="316"/>
      <c r="X68" s="316"/>
      <c r="Y68" s="316"/>
      <c r="AQ68" s="3"/>
    </row>
    <row r="69" spans="3:43" x14ac:dyDescent="0.25">
      <c r="E69" s="27"/>
      <c r="F69" s="62" t="s">
        <v>250</v>
      </c>
      <c r="G69" s="62" t="s">
        <v>208</v>
      </c>
      <c r="J69" s="318">
        <f>'Inputs by customer type'!J34</f>
        <v>2467621.6811667914</v>
      </c>
      <c r="K69" s="316"/>
      <c r="L69" s="318">
        <f>'Inputs by customer type'!L34</f>
        <v>35446.391087201235</v>
      </c>
      <c r="M69" s="316"/>
      <c r="N69" s="318">
        <f>'Inputs by customer type'!N34</f>
        <v>164994.06299269965</v>
      </c>
      <c r="O69" s="318">
        <f>'Inputs by customer type'!O34</f>
        <v>18548.828061922603</v>
      </c>
      <c r="P69" s="318">
        <f>'Inputs by customer type'!P34</f>
        <v>93358.727314650154</v>
      </c>
      <c r="Q69" s="318">
        <f>'Inputs by customer type'!Q34</f>
        <v>69645.577244407395</v>
      </c>
      <c r="R69" s="316"/>
      <c r="S69" s="316"/>
      <c r="T69" s="316"/>
      <c r="U69" s="316"/>
      <c r="V69" s="316"/>
      <c r="W69" s="316"/>
      <c r="X69" s="316"/>
      <c r="Y69" s="316"/>
      <c r="AQ69" s="3"/>
    </row>
    <row r="70" spans="3:43" x14ac:dyDescent="0.25">
      <c r="E70" s="27"/>
      <c r="F70" s="62" t="s">
        <v>213</v>
      </c>
      <c r="G70" s="62" t="s">
        <v>213</v>
      </c>
      <c r="J70" s="318">
        <f>'Inputs by customer type'!J35</f>
        <v>1506295.0683282644</v>
      </c>
      <c r="K70" s="316"/>
      <c r="L70" s="318">
        <f>'Inputs by customer type'!L35</f>
        <v>65239.127097806886</v>
      </c>
      <c r="M70" s="316"/>
      <c r="N70" s="318">
        <f>'Inputs by customer type'!N35</f>
        <v>3933.7172682430546</v>
      </c>
      <c r="O70" s="318">
        <f>'Inputs by customer type'!O35</f>
        <v>342.61765670732251</v>
      </c>
      <c r="P70" s="318">
        <f>'Inputs by customer type'!P35</f>
        <v>322.19503480811886</v>
      </c>
      <c r="Q70" s="318">
        <f>'Inputs by customer type'!Q35</f>
        <v>2539</v>
      </c>
      <c r="R70" s="316"/>
      <c r="S70" s="316"/>
      <c r="T70" s="316"/>
      <c r="U70" s="316"/>
      <c r="V70" s="316"/>
      <c r="W70" s="316"/>
      <c r="X70" s="316"/>
      <c r="Y70" s="316"/>
      <c r="AQ70" s="3"/>
    </row>
    <row r="71" spans="3:43" x14ac:dyDescent="0.25">
      <c r="E71" s="27"/>
      <c r="F71" s="62" t="s">
        <v>251</v>
      </c>
      <c r="G71" s="62" t="s">
        <v>252</v>
      </c>
      <c r="J71" s="318">
        <f>'Inputs by customer type'!J36</f>
        <v>0</v>
      </c>
      <c r="K71" s="316"/>
      <c r="L71" s="318">
        <f>'Inputs by customer type'!L36</f>
        <v>0</v>
      </c>
      <c r="M71" s="316"/>
      <c r="N71" s="318">
        <f>'Inputs by customer type'!N36</f>
        <v>182131.42775299386</v>
      </c>
      <c r="O71" s="318">
        <f>'Inputs by customer type'!O36</f>
        <v>19486.485887020266</v>
      </c>
      <c r="P71" s="318">
        <f>'Inputs by customer type'!P36</f>
        <v>80307.237229413557</v>
      </c>
      <c r="Q71" s="318">
        <f>'Inputs by customer type'!Q36</f>
        <v>0</v>
      </c>
      <c r="R71" s="316"/>
      <c r="S71" s="316"/>
      <c r="T71" s="316"/>
      <c r="U71" s="316"/>
      <c r="V71" s="316"/>
      <c r="W71" s="316"/>
      <c r="X71" s="316"/>
      <c r="Y71" s="316"/>
      <c r="AQ71" s="3"/>
    </row>
    <row r="72" spans="3:43" x14ac:dyDescent="0.25">
      <c r="E72" s="27"/>
      <c r="F72" s="62" t="s">
        <v>253</v>
      </c>
      <c r="G72" s="62" t="s">
        <v>252</v>
      </c>
      <c r="J72" s="318">
        <f>'Inputs by customer type'!J37</f>
        <v>0</v>
      </c>
      <c r="K72" s="316"/>
      <c r="L72" s="318">
        <f>'Inputs by customer type'!L37</f>
        <v>0</v>
      </c>
      <c r="M72" s="316"/>
      <c r="N72" s="318">
        <f>'Inputs by customer type'!N37</f>
        <v>17235.617736682118</v>
      </c>
      <c r="O72" s="318">
        <f>'Inputs by customer type'!O37</f>
        <v>1667.9217436686849</v>
      </c>
      <c r="P72" s="318">
        <f>'Inputs by customer type'!P37</f>
        <v>2169.057862955141</v>
      </c>
      <c r="Q72" s="318">
        <f>'Inputs by customer type'!Q37</f>
        <v>0</v>
      </c>
      <c r="R72" s="316"/>
      <c r="S72" s="316"/>
      <c r="T72" s="316"/>
      <c r="U72" s="316"/>
      <c r="V72" s="316"/>
      <c r="W72" s="316"/>
      <c r="X72" s="316"/>
      <c r="Y72" s="316"/>
      <c r="AQ72" s="3"/>
    </row>
    <row r="73" spans="3:43" x14ac:dyDescent="0.25">
      <c r="E73" s="27"/>
      <c r="F73" s="70" t="s">
        <v>254</v>
      </c>
      <c r="G73" s="70" t="s">
        <v>255</v>
      </c>
      <c r="H73" s="28"/>
      <c r="I73" s="28"/>
      <c r="J73" s="115">
        <f>'Inputs by customer type'!J38</f>
        <v>0</v>
      </c>
      <c r="K73" s="71"/>
      <c r="L73" s="115">
        <f>'Inputs by customer type'!L38</f>
        <v>0</v>
      </c>
      <c r="M73" s="71"/>
      <c r="N73" s="115">
        <f>'Inputs by customer type'!N38</f>
        <v>29904.392179604714</v>
      </c>
      <c r="O73" s="115">
        <f>'Inputs by customer type'!O38</f>
        <v>5393.2136528093579</v>
      </c>
      <c r="P73" s="115">
        <f>'Inputs by customer type'!P38</f>
        <v>17045.838493955318</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155</v>
      </c>
      <c r="AQ75" s="3"/>
    </row>
    <row r="76" spans="3:43" x14ac:dyDescent="0.25">
      <c r="C76" s="24"/>
      <c r="E76" s="27"/>
      <c r="F76" s="68" t="s">
        <v>248</v>
      </c>
      <c r="G76" s="68" t="s">
        <v>208</v>
      </c>
      <c r="H76" s="19"/>
      <c r="I76" s="19"/>
      <c r="J76" s="73"/>
      <c r="K76" s="73"/>
      <c r="L76" s="114">
        <f>'Inputs by customer type'!L41</f>
        <v>20841.563482664376</v>
      </c>
      <c r="M76" s="73"/>
      <c r="N76" s="114">
        <f>'Inputs by customer type'!N41</f>
        <v>29511.379151767269</v>
      </c>
      <c r="O76" s="114">
        <f>'Inputs by customer type'!O41</f>
        <v>6283.4427828780554</v>
      </c>
      <c r="P76" s="114">
        <f>'Inputs by customer type'!P41</f>
        <v>36334.963462998385</v>
      </c>
      <c r="Q76" s="73"/>
      <c r="R76" s="73"/>
      <c r="S76" s="73"/>
      <c r="T76" s="73"/>
      <c r="U76" s="73"/>
      <c r="V76" s="73"/>
      <c r="W76" s="73"/>
      <c r="X76" s="73"/>
      <c r="Y76" s="73"/>
      <c r="AQ76" s="3"/>
    </row>
    <row r="77" spans="3:43" x14ac:dyDescent="0.25">
      <c r="E77" s="27"/>
      <c r="F77" s="62" t="s">
        <v>249</v>
      </c>
      <c r="G77" s="62" t="s">
        <v>208</v>
      </c>
      <c r="J77" s="316"/>
      <c r="K77" s="316"/>
      <c r="L77" s="318">
        <f>'Inputs by customer type'!L42</f>
        <v>166317.74112404627</v>
      </c>
      <c r="M77" s="316"/>
      <c r="N77" s="318">
        <f>'Inputs by customer type'!N42</f>
        <v>212912.74933414286</v>
      </c>
      <c r="O77" s="318">
        <f>'Inputs by customer type'!O42</f>
        <v>46119.614970367285</v>
      </c>
      <c r="P77" s="318">
        <f>'Inputs by customer type'!P42</f>
        <v>252407.08543997028</v>
      </c>
      <c r="Q77" s="316"/>
      <c r="R77" s="316"/>
      <c r="S77" s="316"/>
      <c r="T77" s="316"/>
      <c r="U77" s="316"/>
      <c r="V77" s="316"/>
      <c r="W77" s="316"/>
      <c r="X77" s="316"/>
      <c r="Y77" s="316"/>
      <c r="AQ77" s="3"/>
    </row>
    <row r="78" spans="3:43" x14ac:dyDescent="0.25">
      <c r="E78" s="27"/>
      <c r="F78" s="62" t="s">
        <v>250</v>
      </c>
      <c r="G78" s="62" t="s">
        <v>208</v>
      </c>
      <c r="J78" s="316"/>
      <c r="K78" s="316"/>
      <c r="L78" s="318">
        <f>'Inputs by customer type'!L43</f>
        <v>141786.10921977315</v>
      </c>
      <c r="M78" s="316"/>
      <c r="N78" s="318">
        <f>'Inputs by customer type'!N43</f>
        <v>189461.87778159833</v>
      </c>
      <c r="O78" s="318">
        <f>'Inputs by customer type'!O43</f>
        <v>45517.305844811061</v>
      </c>
      <c r="P78" s="318">
        <f>'Inputs by customer type'!P43</f>
        <v>287233.28361779102</v>
      </c>
      <c r="Q78" s="316"/>
      <c r="R78" s="316"/>
      <c r="S78" s="316"/>
      <c r="T78" s="316"/>
      <c r="U78" s="316"/>
      <c r="V78" s="316"/>
      <c r="W78" s="316"/>
      <c r="X78" s="316"/>
      <c r="Y78" s="316"/>
      <c r="AQ78" s="3"/>
    </row>
    <row r="79" spans="3:43" x14ac:dyDescent="0.25">
      <c r="E79" s="27"/>
      <c r="F79" s="62" t="s">
        <v>213</v>
      </c>
      <c r="G79" s="62" t="s">
        <v>213</v>
      </c>
      <c r="J79" s="316"/>
      <c r="K79" s="316"/>
      <c r="L79" s="318">
        <f>'Inputs by customer type'!L44</f>
        <v>44221.199773590401</v>
      </c>
      <c r="M79" s="316"/>
      <c r="N79" s="318">
        <f>'Inputs by customer type'!N44</f>
        <v>2525.4244343778955</v>
      </c>
      <c r="O79" s="318">
        <f>'Inputs by customer type'!O44</f>
        <v>465.00912378580318</v>
      </c>
      <c r="P79" s="318">
        <f>'Inputs by customer type'!P44</f>
        <v>400.49540191570389</v>
      </c>
      <c r="Q79" s="316"/>
      <c r="R79" s="316"/>
      <c r="S79" s="316"/>
      <c r="T79" s="316"/>
      <c r="U79" s="316"/>
      <c r="V79" s="316"/>
      <c r="W79" s="316"/>
      <c r="X79" s="316"/>
      <c r="Y79" s="316"/>
      <c r="AQ79" s="3"/>
    </row>
    <row r="80" spans="3:43" x14ac:dyDescent="0.25">
      <c r="E80" s="27"/>
      <c r="F80" s="62" t="s">
        <v>251</v>
      </c>
      <c r="G80" s="62" t="s">
        <v>252</v>
      </c>
      <c r="J80" s="316"/>
      <c r="K80" s="316"/>
      <c r="L80" s="318">
        <f>'Inputs by customer type'!L45</f>
        <v>0</v>
      </c>
      <c r="M80" s="316"/>
      <c r="N80" s="318">
        <f>'Inputs by customer type'!N45</f>
        <v>287551.52456937812</v>
      </c>
      <c r="O80" s="318">
        <f>'Inputs by customer type'!O45</f>
        <v>55607.012973977391</v>
      </c>
      <c r="P80" s="318">
        <f>'Inputs by customer type'!P45</f>
        <v>270976.82439930853</v>
      </c>
      <c r="Q80" s="316"/>
      <c r="R80" s="316"/>
      <c r="S80" s="316"/>
      <c r="T80" s="316"/>
      <c r="U80" s="316"/>
      <c r="V80" s="316"/>
      <c r="W80" s="316"/>
      <c r="X80" s="316"/>
      <c r="Y80" s="316"/>
      <c r="AQ80" s="3"/>
    </row>
    <row r="81" spans="3:43" x14ac:dyDescent="0.25">
      <c r="E81" s="27"/>
      <c r="F81" s="62" t="s">
        <v>253</v>
      </c>
      <c r="G81" s="62" t="s">
        <v>252</v>
      </c>
      <c r="J81" s="316"/>
      <c r="K81" s="316"/>
      <c r="L81" s="318">
        <f>'Inputs by customer type'!L46</f>
        <v>0</v>
      </c>
      <c r="M81" s="316"/>
      <c r="N81" s="318">
        <f>'Inputs by customer type'!N46</f>
        <v>2272.451988773812</v>
      </c>
      <c r="O81" s="318">
        <f>'Inputs by customer type'!O46</f>
        <v>653.79682996340705</v>
      </c>
      <c r="P81" s="318">
        <f>'Inputs by customer type'!P46</f>
        <v>1457.0461477210777</v>
      </c>
      <c r="Q81" s="316"/>
      <c r="R81" s="316"/>
      <c r="S81" s="316"/>
      <c r="T81" s="316"/>
      <c r="U81" s="316"/>
      <c r="V81" s="316"/>
      <c r="W81" s="316"/>
      <c r="X81" s="316"/>
      <c r="Y81" s="316"/>
      <c r="AQ81" s="3"/>
    </row>
    <row r="82" spans="3:43" x14ac:dyDescent="0.25">
      <c r="E82" s="27"/>
      <c r="F82" s="70" t="s">
        <v>254</v>
      </c>
      <c r="G82" s="70" t="s">
        <v>255</v>
      </c>
      <c r="H82" s="28"/>
      <c r="I82" s="28"/>
      <c r="J82" s="71"/>
      <c r="K82" s="71"/>
      <c r="L82" s="115">
        <f>'Inputs by customer type'!L47</f>
        <v>0</v>
      </c>
      <c r="M82" s="71"/>
      <c r="N82" s="115">
        <f>'Inputs by customer type'!N47</f>
        <v>31962.104427876602</v>
      </c>
      <c r="O82" s="115">
        <f>'Inputs by customer type'!O47</f>
        <v>9682.8550521467787</v>
      </c>
      <c r="P82" s="115">
        <f>'Inputs by customer type'!P47</f>
        <v>36318.533850791755</v>
      </c>
      <c r="Q82" s="71"/>
      <c r="R82" s="71"/>
      <c r="S82" s="71"/>
      <c r="T82" s="71"/>
      <c r="U82" s="71"/>
      <c r="V82" s="71"/>
      <c r="W82" s="71"/>
      <c r="X82" s="71"/>
      <c r="Y82" s="71"/>
      <c r="AQ82" s="3"/>
    </row>
    <row r="83" spans="3:43" x14ac:dyDescent="0.25">
      <c r="AQ83" s="3"/>
    </row>
    <row r="84" spans="3:43" x14ac:dyDescent="0.25">
      <c r="C84" s="24"/>
      <c r="E84" s="27" t="s">
        <v>946</v>
      </c>
      <c r="G84" s="12"/>
      <c r="I84" t="s">
        <v>155</v>
      </c>
      <c r="AQ84" s="3"/>
    </row>
    <row r="85" spans="3:43" x14ac:dyDescent="0.25">
      <c r="C85" s="24"/>
      <c r="E85" s="27"/>
      <c r="F85" s="68" t="s">
        <v>248</v>
      </c>
      <c r="G85" s="68" t="s">
        <v>208</v>
      </c>
      <c r="H85" s="19"/>
      <c r="I85" s="19"/>
      <c r="J85" s="73"/>
      <c r="K85" s="73"/>
      <c r="L85" s="114">
        <f>'Inputs by customer type'!L50</f>
        <v>20527.429434803831</v>
      </c>
      <c r="M85" s="73"/>
      <c r="N85" s="114">
        <f>'Inputs by customer type'!N50</f>
        <v>14737.907269907626</v>
      </c>
      <c r="O85" s="114">
        <f>'Inputs by customer type'!O50</f>
        <v>6434.0901641822084</v>
      </c>
      <c r="P85" s="114">
        <f>'Inputs by customer type'!P50</f>
        <v>24824.457270991577</v>
      </c>
      <c r="Q85" s="73"/>
      <c r="R85" s="73"/>
      <c r="S85" s="73"/>
      <c r="T85" s="73"/>
      <c r="U85" s="73"/>
      <c r="V85" s="73"/>
      <c r="W85" s="73"/>
      <c r="X85" s="73"/>
      <c r="Y85" s="73"/>
      <c r="AQ85" s="3"/>
    </row>
    <row r="86" spans="3:43" x14ac:dyDescent="0.25">
      <c r="E86" s="27"/>
      <c r="F86" s="62" t="s">
        <v>249</v>
      </c>
      <c r="G86" s="62" t="s">
        <v>208</v>
      </c>
      <c r="J86" s="316"/>
      <c r="K86" s="316"/>
      <c r="L86" s="318">
        <f>'Inputs by customer type'!L51</f>
        <v>163810.92030449613</v>
      </c>
      <c r="M86" s="316"/>
      <c r="N86" s="318">
        <f>'Inputs by customer type'!N51</f>
        <v>106328.08247051286</v>
      </c>
      <c r="O86" s="318">
        <f>'Inputs by customer type'!O51</f>
        <v>47225.346248922717</v>
      </c>
      <c r="P86" s="318">
        <f>'Inputs by customer type'!P51</f>
        <v>172447.370527313</v>
      </c>
      <c r="Q86" s="316"/>
      <c r="R86" s="316"/>
      <c r="S86" s="316"/>
      <c r="T86" s="316"/>
      <c r="U86" s="316"/>
      <c r="V86" s="316"/>
      <c r="W86" s="316"/>
      <c r="X86" s="316"/>
      <c r="Y86" s="316"/>
      <c r="AQ86" s="3"/>
    </row>
    <row r="87" spans="3:43" x14ac:dyDescent="0.25">
      <c r="E87" s="27"/>
      <c r="F87" s="62" t="s">
        <v>250</v>
      </c>
      <c r="G87" s="62" t="s">
        <v>208</v>
      </c>
      <c r="J87" s="316"/>
      <c r="K87" s="316"/>
      <c r="L87" s="318">
        <f>'Inputs by customer type'!L52</f>
        <v>139649.04093040747</v>
      </c>
      <c r="M87" s="316"/>
      <c r="N87" s="318">
        <f>'Inputs by customer type'!N52</f>
        <v>94616.777195265546</v>
      </c>
      <c r="O87" s="318">
        <f>'Inputs by customer type'!O52</f>
        <v>46608.596585649189</v>
      </c>
      <c r="P87" s="318">
        <f>'Inputs by customer type'!P52</f>
        <v>196241.02232104057</v>
      </c>
      <c r="Q87" s="316"/>
      <c r="R87" s="316"/>
      <c r="S87" s="316"/>
      <c r="T87" s="316"/>
      <c r="U87" s="316"/>
      <c r="V87" s="316"/>
      <c r="W87" s="316"/>
      <c r="X87" s="316"/>
      <c r="Y87" s="316"/>
      <c r="AQ87" s="3"/>
    </row>
    <row r="88" spans="3:43" x14ac:dyDescent="0.25">
      <c r="E88" s="27"/>
      <c r="F88" s="62" t="s">
        <v>213</v>
      </c>
      <c r="G88" s="62" t="s">
        <v>213</v>
      </c>
      <c r="J88" s="316"/>
      <c r="K88" s="316"/>
      <c r="L88" s="318">
        <f>'Inputs by customer type'!L53</f>
        <v>18156.095292054128</v>
      </c>
      <c r="M88" s="316"/>
      <c r="N88" s="318">
        <f>'Inputs by customer type'!N53</f>
        <v>840.58380918168632</v>
      </c>
      <c r="O88" s="318">
        <f>'Inputs by customer type'!O53</f>
        <v>312.68005783788288</v>
      </c>
      <c r="P88" s="318">
        <f>'Inputs by customer type'!P53</f>
        <v>123.41651624927486</v>
      </c>
      <c r="Q88" s="316"/>
      <c r="R88" s="316"/>
      <c r="S88" s="316"/>
      <c r="T88" s="316"/>
      <c r="U88" s="316"/>
      <c r="V88" s="316"/>
      <c r="W88" s="316"/>
      <c r="X88" s="316"/>
      <c r="Y88" s="316"/>
      <c r="AQ88" s="3"/>
    </row>
    <row r="89" spans="3:43" x14ac:dyDescent="0.25">
      <c r="E89" s="27"/>
      <c r="F89" s="62" t="s">
        <v>251</v>
      </c>
      <c r="G89" s="62" t="s">
        <v>252</v>
      </c>
      <c r="J89" s="316"/>
      <c r="K89" s="316"/>
      <c r="L89" s="318">
        <f>'Inputs by customer type'!L54</f>
        <v>0</v>
      </c>
      <c r="M89" s="316"/>
      <c r="N89" s="318">
        <f>'Inputs by customer type'!N54</f>
        <v>154875.90864175055</v>
      </c>
      <c r="O89" s="318">
        <f>'Inputs by customer type'!O54</f>
        <v>59205.491105254587</v>
      </c>
      <c r="P89" s="318">
        <f>'Inputs by customer type'!P54</f>
        <v>166069.31783211298</v>
      </c>
      <c r="Q89" s="316"/>
      <c r="R89" s="316"/>
      <c r="S89" s="316"/>
      <c r="T89" s="316"/>
      <c r="U89" s="316"/>
      <c r="V89" s="316"/>
      <c r="W89" s="316"/>
      <c r="X89" s="316"/>
      <c r="Y89" s="316"/>
      <c r="AQ89" s="3"/>
    </row>
    <row r="90" spans="3:43" x14ac:dyDescent="0.25">
      <c r="E90" s="27"/>
      <c r="F90" s="62" t="s">
        <v>253</v>
      </c>
      <c r="G90" s="62" t="s">
        <v>252</v>
      </c>
      <c r="J90" s="316"/>
      <c r="K90" s="316"/>
      <c r="L90" s="318">
        <f>'Inputs by customer type'!L55</f>
        <v>0</v>
      </c>
      <c r="M90" s="316"/>
      <c r="N90" s="318">
        <f>'Inputs by customer type'!N55</f>
        <v>544.94152641872449</v>
      </c>
      <c r="O90" s="318">
        <f>'Inputs by customer type'!O55</f>
        <v>357.66623596231426</v>
      </c>
      <c r="P90" s="318">
        <f>'Inputs by customer type'!P55</f>
        <v>621.98643401730124</v>
      </c>
      <c r="Q90" s="316"/>
      <c r="R90" s="316"/>
      <c r="S90" s="316"/>
      <c r="T90" s="316"/>
      <c r="U90" s="316"/>
      <c r="V90" s="316"/>
      <c r="W90" s="316"/>
      <c r="X90" s="316"/>
      <c r="Y90" s="316"/>
      <c r="AQ90" s="3"/>
    </row>
    <row r="91" spans="3:43" x14ac:dyDescent="0.25">
      <c r="E91" s="27"/>
      <c r="F91" s="70" t="s">
        <v>254</v>
      </c>
      <c r="G91" s="70" t="s">
        <v>255</v>
      </c>
      <c r="H91" s="28"/>
      <c r="I91" s="28"/>
      <c r="J91" s="71"/>
      <c r="K91" s="71"/>
      <c r="L91" s="115">
        <f>'Inputs by customer type'!L56</f>
        <v>0</v>
      </c>
      <c r="M91" s="71"/>
      <c r="N91" s="115">
        <f>'Inputs by customer type'!N56</f>
        <v>17618.557352734304</v>
      </c>
      <c r="O91" s="115">
        <f>'Inputs by customer type'!O56</f>
        <v>9622.9500400877296</v>
      </c>
      <c r="P91" s="115">
        <f>'Inputs by customer type'!P56</f>
        <v>32007.878898451414</v>
      </c>
      <c r="Q91" s="71"/>
      <c r="R91" s="71"/>
      <c r="S91" s="71"/>
      <c r="T91" s="71"/>
      <c r="U91" s="71"/>
      <c r="V91" s="71"/>
      <c r="W91" s="71"/>
      <c r="X91" s="71"/>
      <c r="Y91" s="71"/>
      <c r="AQ91" s="3"/>
    </row>
    <row r="92" spans="3:43" x14ac:dyDescent="0.25">
      <c r="AQ92" s="3"/>
    </row>
    <row r="93" spans="3:43" x14ac:dyDescent="0.25">
      <c r="C93" s="24"/>
      <c r="E93" s="27" t="s">
        <v>947</v>
      </c>
      <c r="G93" s="12"/>
      <c r="I93" t="s">
        <v>155</v>
      </c>
      <c r="AQ93" s="3"/>
    </row>
    <row r="94" spans="3:43" x14ac:dyDescent="0.25">
      <c r="C94" s="24"/>
      <c r="E94" s="27"/>
      <c r="F94" s="68" t="s">
        <v>248</v>
      </c>
      <c r="G94" s="68" t="s">
        <v>208</v>
      </c>
      <c r="H94" s="19"/>
      <c r="I94" s="19"/>
      <c r="J94" s="73"/>
      <c r="K94" s="73"/>
      <c r="L94" s="114">
        <f>'Inputs by customer type'!L59</f>
        <v>68146.604314189986</v>
      </c>
      <c r="M94" s="73"/>
      <c r="N94" s="114">
        <f>'Inputs by customer type'!N59</f>
        <v>17490.73759222127</v>
      </c>
      <c r="O94" s="114">
        <f>'Inputs by customer type'!O59</f>
        <v>26564.367305531145</v>
      </c>
      <c r="P94" s="114">
        <f>'Inputs by customer type'!P59</f>
        <v>66234.275733567876</v>
      </c>
      <c r="Q94" s="73"/>
      <c r="R94" s="73"/>
      <c r="S94" s="73"/>
      <c r="T94" s="73"/>
      <c r="U94" s="73"/>
      <c r="V94" s="73"/>
      <c r="W94" s="73"/>
      <c r="X94" s="73"/>
      <c r="Y94" s="73"/>
      <c r="AQ94" s="3"/>
    </row>
    <row r="95" spans="3:43" x14ac:dyDescent="0.25">
      <c r="E95" s="27"/>
      <c r="F95" s="62" t="s">
        <v>249</v>
      </c>
      <c r="G95" s="62" t="s">
        <v>208</v>
      </c>
      <c r="J95" s="316"/>
      <c r="K95" s="316"/>
      <c r="L95" s="318">
        <f>'Inputs by customer type'!L60</f>
        <v>543816.65292230446</v>
      </c>
      <c r="M95" s="316"/>
      <c r="N95" s="318">
        <f>'Inputs by customer type'!N60</f>
        <v>126188.64775822811</v>
      </c>
      <c r="O95" s="318">
        <f>'Inputs by customer type'!O60</f>
        <v>194978.84112208779</v>
      </c>
      <c r="P95" s="318">
        <f>'Inputs by customer type'!P60</f>
        <v>460107.81079116662</v>
      </c>
      <c r="Q95" s="316"/>
      <c r="R95" s="316"/>
      <c r="S95" s="316"/>
      <c r="T95" s="316"/>
      <c r="U95" s="316"/>
      <c r="V95" s="316"/>
      <c r="W95" s="316"/>
      <c r="X95" s="316"/>
      <c r="Y95" s="316"/>
      <c r="AQ95" s="3"/>
    </row>
    <row r="96" spans="3:43" x14ac:dyDescent="0.25">
      <c r="E96" s="27"/>
      <c r="F96" s="62" t="s">
        <v>250</v>
      </c>
      <c r="G96" s="62" t="s">
        <v>208</v>
      </c>
      <c r="J96" s="316"/>
      <c r="K96" s="316"/>
      <c r="L96" s="318">
        <f>'Inputs by customer type'!L61</f>
        <v>463604.46471711597</v>
      </c>
      <c r="M96" s="316"/>
      <c r="N96" s="318">
        <f>'Inputs by customer type'!N61</f>
        <v>112289.83813211547</v>
      </c>
      <c r="O96" s="318">
        <f>'Inputs by customer type'!O61</f>
        <v>192432.47261112632</v>
      </c>
      <c r="P96" s="318">
        <f>'Inputs by customer type'!P61</f>
        <v>523591.78856399894</v>
      </c>
      <c r="Q96" s="316"/>
      <c r="R96" s="316"/>
      <c r="S96" s="316"/>
      <c r="T96" s="316"/>
      <c r="U96" s="316"/>
      <c r="V96" s="316"/>
      <c r="W96" s="316"/>
      <c r="X96" s="316"/>
      <c r="Y96" s="316"/>
      <c r="AQ96" s="3"/>
    </row>
    <row r="97" spans="3:43" x14ac:dyDescent="0.25">
      <c r="E97" s="27"/>
      <c r="F97" s="62" t="s">
        <v>213</v>
      </c>
      <c r="G97" s="62" t="s">
        <v>213</v>
      </c>
      <c r="J97" s="316"/>
      <c r="K97" s="316"/>
      <c r="L97" s="318">
        <f>'Inputs by customer type'!L62</f>
        <v>18481.094301177247</v>
      </c>
      <c r="M97" s="316"/>
      <c r="N97" s="318">
        <f>'Inputs by customer type'!N62</f>
        <v>549.89936131082754</v>
      </c>
      <c r="O97" s="318">
        <f>'Inputs by customer type'!O62</f>
        <v>598.77879969563264</v>
      </c>
      <c r="P97" s="318">
        <f>'Inputs by customer type'!P62</f>
        <v>130.23831149230517</v>
      </c>
      <c r="Q97" s="316"/>
      <c r="R97" s="316"/>
      <c r="S97" s="316"/>
      <c r="T97" s="316"/>
      <c r="U97" s="316"/>
      <c r="V97" s="316"/>
      <c r="W97" s="316"/>
      <c r="X97" s="316"/>
      <c r="Y97" s="316"/>
      <c r="AQ97" s="3"/>
    </row>
    <row r="98" spans="3:43" x14ac:dyDescent="0.25">
      <c r="E98" s="27"/>
      <c r="F98" s="62" t="s">
        <v>251</v>
      </c>
      <c r="G98" s="62" t="s">
        <v>252</v>
      </c>
      <c r="J98" s="316"/>
      <c r="K98" s="316"/>
      <c r="L98" s="318">
        <f>'Inputs by customer type'!L63</f>
        <v>0</v>
      </c>
      <c r="M98" s="316"/>
      <c r="N98" s="318">
        <f>'Inputs by customer type'!N63</f>
        <v>187896.96080934943</v>
      </c>
      <c r="O98" s="318">
        <f>'Inputs by customer type'!O63</f>
        <v>237370.98500140154</v>
      </c>
      <c r="P98" s="318">
        <f>'Inputs by customer type'!P63</f>
        <v>420017.37254602788</v>
      </c>
      <c r="Q98" s="316"/>
      <c r="R98" s="316"/>
      <c r="S98" s="316"/>
      <c r="T98" s="316"/>
      <c r="U98" s="316"/>
      <c r="V98" s="316"/>
      <c r="W98" s="316"/>
      <c r="X98" s="316"/>
      <c r="Y98" s="316"/>
      <c r="AQ98" s="3"/>
    </row>
    <row r="99" spans="3:43" x14ac:dyDescent="0.25">
      <c r="E99" s="27"/>
      <c r="F99" s="62" t="s">
        <v>253</v>
      </c>
      <c r="G99" s="62" t="s">
        <v>252</v>
      </c>
      <c r="J99" s="316"/>
      <c r="K99" s="316"/>
      <c r="L99" s="318">
        <f>'Inputs by customer type'!L64</f>
        <v>0</v>
      </c>
      <c r="M99" s="316"/>
      <c r="N99" s="318">
        <f>'Inputs by customer type'!N64</f>
        <v>108.88468648350157</v>
      </c>
      <c r="O99" s="318">
        <f>'Inputs by customer type'!O64</f>
        <v>2401.1874249123075</v>
      </c>
      <c r="P99" s="318">
        <f>'Inputs by customer type'!P64</f>
        <v>116.79122459681906</v>
      </c>
      <c r="Q99" s="316"/>
      <c r="R99" s="316"/>
      <c r="S99" s="316"/>
      <c r="T99" s="316"/>
      <c r="U99" s="316"/>
      <c r="V99" s="316"/>
      <c r="W99" s="316"/>
      <c r="X99" s="316"/>
      <c r="Y99" s="316"/>
      <c r="AQ99" s="3"/>
    </row>
    <row r="100" spans="3:43" x14ac:dyDescent="0.25">
      <c r="E100" s="27"/>
      <c r="F100" s="70" t="s">
        <v>254</v>
      </c>
      <c r="G100" s="70" t="s">
        <v>255</v>
      </c>
      <c r="H100" s="28"/>
      <c r="I100" s="28"/>
      <c r="J100" s="71"/>
      <c r="K100" s="71"/>
      <c r="L100" s="115">
        <f>'Inputs by customer type'!L65</f>
        <v>0</v>
      </c>
      <c r="M100" s="71"/>
      <c r="N100" s="115">
        <f>'Inputs by customer type'!N65</f>
        <v>22436.69675979115</v>
      </c>
      <c r="O100" s="115">
        <f>'Inputs by customer type'!O65</f>
        <v>39057.406064084003</v>
      </c>
      <c r="P100" s="115">
        <f>'Inputs by customer type'!P65</f>
        <v>66139.286174492314</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155</v>
      </c>
      <c r="AQ104" s="3"/>
    </row>
    <row r="105" spans="3:43" x14ac:dyDescent="0.25">
      <c r="E105" s="27"/>
      <c r="F105" s="68" t="s">
        <v>248</v>
      </c>
      <c r="G105" s="68" t="s">
        <v>208</v>
      </c>
      <c r="H105" s="19"/>
      <c r="I105" s="19"/>
      <c r="J105" s="73"/>
      <c r="K105" s="114">
        <f>'Inputs by customer type'!K70</f>
        <v>0</v>
      </c>
      <c r="L105" s="114">
        <f>'Inputs by customer type'!L70</f>
        <v>2.9380428979096404E-3</v>
      </c>
      <c r="M105" s="114">
        <f>'Inputs by customer type'!M70</f>
        <v>0</v>
      </c>
      <c r="N105" s="114">
        <f>'Inputs by customer type'!N70</f>
        <v>0.37140663101225813</v>
      </c>
      <c r="O105" s="114">
        <f>'Inputs by customer type'!O70</f>
        <v>0</v>
      </c>
      <c r="P105" s="114">
        <f>'Inputs by customer type'!P70</f>
        <v>0</v>
      </c>
      <c r="Q105" s="73"/>
      <c r="R105" s="114">
        <f>'Inputs by customer type'!R70</f>
        <v>2.4079999999999995</v>
      </c>
      <c r="S105" s="73"/>
      <c r="T105" s="114">
        <f>'Inputs by customer type'!T70</f>
        <v>0</v>
      </c>
      <c r="U105" s="73"/>
      <c r="V105" s="73"/>
      <c r="W105" s="73"/>
      <c r="X105" s="73"/>
      <c r="Y105" s="73"/>
      <c r="AQ105" s="3"/>
    </row>
    <row r="106" spans="3:43" x14ac:dyDescent="0.25">
      <c r="E106" s="27"/>
      <c r="F106" s="62" t="s">
        <v>249</v>
      </c>
      <c r="G106" s="62" t="s">
        <v>208</v>
      </c>
      <c r="J106" s="316"/>
      <c r="K106" s="318">
        <f>'Inputs by customer type'!K71</f>
        <v>0</v>
      </c>
      <c r="L106" s="318">
        <f>'Inputs by customer type'!L71</f>
        <v>2.6322150556960952E-2</v>
      </c>
      <c r="M106" s="318">
        <f>'Inputs by customer type'!M71</f>
        <v>0</v>
      </c>
      <c r="N106" s="318">
        <f>'Inputs by customer type'!N71</f>
        <v>2.6522658325265001</v>
      </c>
      <c r="O106" s="318">
        <f>'Inputs by customer type'!O71</f>
        <v>0</v>
      </c>
      <c r="P106" s="318">
        <f>'Inputs by customer type'!P71</f>
        <v>0</v>
      </c>
      <c r="Q106" s="316"/>
      <c r="R106" s="318">
        <f>'Inputs by customer type'!R71</f>
        <v>163.50900000000001</v>
      </c>
      <c r="S106" s="316"/>
      <c r="T106" s="318">
        <f>'Inputs by customer type'!T71</f>
        <v>0</v>
      </c>
      <c r="U106" s="316"/>
      <c r="V106" s="316"/>
      <c r="W106" s="316"/>
      <c r="X106" s="316"/>
      <c r="Y106" s="316"/>
      <c r="AQ106" s="3"/>
    </row>
    <row r="107" spans="3:43" x14ac:dyDescent="0.25">
      <c r="E107" s="27"/>
      <c r="F107" s="62" t="s">
        <v>250</v>
      </c>
      <c r="G107" s="62" t="s">
        <v>208</v>
      </c>
      <c r="J107" s="316"/>
      <c r="K107" s="318">
        <f>'Inputs by customer type'!K72</f>
        <v>0</v>
      </c>
      <c r="L107" s="318">
        <f>'Inputs by customer type'!L72</f>
        <v>1.9647629278502266E-2</v>
      </c>
      <c r="M107" s="318">
        <f>'Inputs by customer type'!M72</f>
        <v>0</v>
      </c>
      <c r="N107" s="318">
        <f>'Inputs by customer type'!N72</f>
        <v>2.5961283793213075</v>
      </c>
      <c r="O107" s="318">
        <f>'Inputs by customer type'!O72</f>
        <v>0</v>
      </c>
      <c r="P107" s="318">
        <f>'Inputs by customer type'!P72</f>
        <v>0</v>
      </c>
      <c r="Q107" s="316"/>
      <c r="R107" s="318">
        <f>'Inputs by customer type'!R72</f>
        <v>56.274000000000008</v>
      </c>
      <c r="S107" s="316"/>
      <c r="T107" s="318">
        <f>'Inputs by customer type'!T72</f>
        <v>0</v>
      </c>
      <c r="U107" s="316"/>
      <c r="V107" s="316"/>
      <c r="W107" s="316"/>
      <c r="X107" s="316"/>
      <c r="Y107" s="316"/>
      <c r="AQ107" s="3"/>
    </row>
    <row r="108" spans="3:43" x14ac:dyDescent="0.25">
      <c r="E108" s="27"/>
      <c r="F108" s="62" t="s">
        <v>213</v>
      </c>
      <c r="G108" s="62" t="s">
        <v>213</v>
      </c>
      <c r="J108" s="316"/>
      <c r="K108" s="318">
        <f>'Inputs by customer type'!K73</f>
        <v>0</v>
      </c>
      <c r="L108" s="318">
        <f>'Inputs by customer type'!L73</f>
        <v>0.12623481871738476</v>
      </c>
      <c r="M108" s="318">
        <f>'Inputs by customer type'!M73</f>
        <v>0</v>
      </c>
      <c r="N108" s="318">
        <f>'Inputs by customer type'!N73</f>
        <v>0.34715495504601035</v>
      </c>
      <c r="O108" s="318">
        <f>'Inputs by customer type'!O73</f>
        <v>0</v>
      </c>
      <c r="P108" s="318">
        <f>'Inputs by customer type'!P73</f>
        <v>0</v>
      </c>
      <c r="Q108" s="316"/>
      <c r="R108" s="318">
        <f>'Inputs by customer type'!R73</f>
        <v>0</v>
      </c>
      <c r="S108" s="316"/>
      <c r="T108" s="318">
        <f>'Inputs by customer type'!T73</f>
        <v>0</v>
      </c>
      <c r="U108" s="316"/>
      <c r="V108" s="316"/>
      <c r="W108" s="316"/>
      <c r="X108" s="316"/>
      <c r="Y108" s="316"/>
      <c r="AQ108" s="3"/>
    </row>
    <row r="109" spans="3:43" x14ac:dyDescent="0.25">
      <c r="E109" s="27"/>
      <c r="F109" s="62" t="s">
        <v>251</v>
      </c>
      <c r="G109" s="62" t="s">
        <v>252</v>
      </c>
      <c r="J109" s="316"/>
      <c r="K109" s="318">
        <f>'Inputs by customer type'!K74</f>
        <v>0</v>
      </c>
      <c r="L109" s="318">
        <f>'Inputs by customer type'!L74</f>
        <v>0</v>
      </c>
      <c r="M109" s="318">
        <f>'Inputs by customer type'!M74</f>
        <v>0</v>
      </c>
      <c r="N109" s="318">
        <f>'Inputs by customer type'!N74</f>
        <v>14.99303609651184</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25">
      <c r="E110" s="27"/>
      <c r="F110" s="62" t="s">
        <v>253</v>
      </c>
      <c r="G110" s="62" t="s">
        <v>252</v>
      </c>
      <c r="J110" s="316"/>
      <c r="K110" s="318">
        <f>'Inputs by customer type'!K75</f>
        <v>0</v>
      </c>
      <c r="L110" s="318">
        <f>'Inputs by customer type'!L75</f>
        <v>0</v>
      </c>
      <c r="M110" s="318">
        <f>'Inputs by customer type'!M75</f>
        <v>0</v>
      </c>
      <c r="N110" s="318">
        <f>'Inputs by customer type'!N75</f>
        <v>0.74528084838246089</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25">
      <c r="E111" s="27"/>
      <c r="F111" s="70" t="s">
        <v>254</v>
      </c>
      <c r="G111" s="70" t="s">
        <v>255</v>
      </c>
      <c r="H111" s="28"/>
      <c r="I111" s="28"/>
      <c r="J111" s="71"/>
      <c r="K111" s="115">
        <f>'Inputs by customer type'!K76</f>
        <v>0</v>
      </c>
      <c r="L111" s="115">
        <f>'Inputs by customer type'!L76</f>
        <v>0</v>
      </c>
      <c r="M111" s="115">
        <f>'Inputs by customer type'!M76</f>
        <v>0</v>
      </c>
      <c r="N111" s="115">
        <f>'Inputs by customer type'!N76</f>
        <v>3.2229671801960769</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155</v>
      </c>
      <c r="AQ113" s="3"/>
    </row>
    <row r="114" spans="5:43" x14ac:dyDescent="0.25">
      <c r="E114" s="27"/>
      <c r="F114" s="68" t="s">
        <v>248</v>
      </c>
      <c r="G114" s="68" t="s">
        <v>208</v>
      </c>
      <c r="H114" s="19"/>
      <c r="I114" s="19"/>
      <c r="J114" s="114">
        <f>'Inputs by customer type'!J79</f>
        <v>3994.1255820240008</v>
      </c>
      <c r="K114" s="73"/>
      <c r="L114" s="114">
        <f>'Inputs by customer type'!L79</f>
        <v>7.8409145580899535</v>
      </c>
      <c r="M114" s="73"/>
      <c r="N114" s="114">
        <f>'Inputs by customer type'!N79</f>
        <v>85.40908628837785</v>
      </c>
      <c r="O114" s="114">
        <f>'Inputs by customer type'!O79</f>
        <v>0</v>
      </c>
      <c r="P114" s="114">
        <f>'Inputs by customer type'!P79</f>
        <v>0</v>
      </c>
      <c r="Q114" s="114">
        <f>'Inputs by customer type'!Q79</f>
        <v>0</v>
      </c>
      <c r="R114" s="73"/>
      <c r="S114" s="73"/>
      <c r="T114" s="73"/>
      <c r="U114" s="73"/>
      <c r="V114" s="73"/>
      <c r="W114" s="73"/>
      <c r="X114" s="73"/>
      <c r="Y114" s="73"/>
      <c r="AQ114" s="3"/>
    </row>
    <row r="115" spans="5:43" x14ac:dyDescent="0.25">
      <c r="E115" s="27"/>
      <c r="F115" s="62" t="s">
        <v>249</v>
      </c>
      <c r="G115" s="62" t="s">
        <v>208</v>
      </c>
      <c r="J115" s="318">
        <f>'Inputs by customer type'!J80</f>
        <v>20173.386095784008</v>
      </c>
      <c r="K115" s="316"/>
      <c r="L115" s="318">
        <f>'Inputs by customer type'!L80</f>
        <v>70.247351952945593</v>
      </c>
      <c r="M115" s="316"/>
      <c r="N115" s="318">
        <f>'Inputs by customer type'!N80</f>
        <v>609.91803170712819</v>
      </c>
      <c r="O115" s="318">
        <f>'Inputs by customer type'!O80</f>
        <v>0</v>
      </c>
      <c r="P115" s="318">
        <f>'Inputs by customer type'!P80</f>
        <v>0</v>
      </c>
      <c r="Q115" s="318">
        <f>'Inputs by customer type'!Q80</f>
        <v>0</v>
      </c>
      <c r="R115" s="316"/>
      <c r="S115" s="316"/>
      <c r="T115" s="316"/>
      <c r="U115" s="316"/>
      <c r="V115" s="316"/>
      <c r="W115" s="316"/>
      <c r="X115" s="316"/>
      <c r="Y115" s="316"/>
      <c r="AQ115" s="3"/>
    </row>
    <row r="116" spans="5:43" x14ac:dyDescent="0.25">
      <c r="E116" s="27"/>
      <c r="F116" s="62" t="s">
        <v>250</v>
      </c>
      <c r="G116" s="62" t="s">
        <v>208</v>
      </c>
      <c r="J116" s="318">
        <f>'Inputs by customer type'!J81</f>
        <v>20376.23761872001</v>
      </c>
      <c r="K116" s="316"/>
      <c r="L116" s="318">
        <f>'Inputs by customer type'!L81</f>
        <v>52.434694725311935</v>
      </c>
      <c r="M116" s="316"/>
      <c r="N116" s="318">
        <f>'Inputs by customer type'!N81</f>
        <v>597.00859987564922</v>
      </c>
      <c r="O116" s="318">
        <f>'Inputs by customer type'!O81</f>
        <v>0</v>
      </c>
      <c r="P116" s="318">
        <f>'Inputs by customer type'!P81</f>
        <v>0</v>
      </c>
      <c r="Q116" s="318">
        <f>'Inputs by customer type'!Q81</f>
        <v>0</v>
      </c>
      <c r="R116" s="316"/>
      <c r="S116" s="316"/>
      <c r="T116" s="316"/>
      <c r="U116" s="316"/>
      <c r="V116" s="316"/>
      <c r="W116" s="316"/>
      <c r="X116" s="316"/>
      <c r="Y116" s="316"/>
      <c r="AQ116" s="3"/>
    </row>
    <row r="117" spans="5:43" x14ac:dyDescent="0.25">
      <c r="E117" s="27"/>
      <c r="F117" s="62" t="s">
        <v>213</v>
      </c>
      <c r="G117" s="62" t="s">
        <v>213</v>
      </c>
      <c r="J117" s="318">
        <f>'Inputs by customer type'!J82</f>
        <v>14872.013535035618</v>
      </c>
      <c r="K117" s="316"/>
      <c r="L117" s="318">
        <f>'Inputs by customer type'!L82</f>
        <v>145.06058551384407</v>
      </c>
      <c r="M117" s="316"/>
      <c r="N117" s="318">
        <f>'Inputs by customer type'!N82</f>
        <v>23.549882808259575</v>
      </c>
      <c r="O117" s="318">
        <f>'Inputs by customer type'!O82</f>
        <v>0</v>
      </c>
      <c r="P117" s="318">
        <f>'Inputs by customer type'!P82</f>
        <v>0</v>
      </c>
      <c r="Q117" s="318">
        <f>'Inputs by customer type'!Q82</f>
        <v>0</v>
      </c>
      <c r="R117" s="316"/>
      <c r="S117" s="316"/>
      <c r="T117" s="316"/>
      <c r="U117" s="316"/>
      <c r="V117" s="316"/>
      <c r="W117" s="316"/>
      <c r="X117" s="316"/>
      <c r="Y117" s="316"/>
      <c r="AQ117" s="3"/>
    </row>
    <row r="118" spans="5:43" x14ac:dyDescent="0.25">
      <c r="E118" s="27"/>
      <c r="F118" s="62" t="s">
        <v>251</v>
      </c>
      <c r="G118" s="62" t="s">
        <v>252</v>
      </c>
      <c r="J118" s="318">
        <f>'Inputs by customer type'!J83</f>
        <v>0</v>
      </c>
      <c r="K118" s="316"/>
      <c r="L118" s="318">
        <f>'Inputs by customer type'!L83</f>
        <v>0</v>
      </c>
      <c r="M118" s="316"/>
      <c r="N118" s="318">
        <f>'Inputs by customer type'!N83</f>
        <v>1420.7322748181173</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25">
      <c r="E119" s="27"/>
      <c r="F119" s="62" t="s">
        <v>253</v>
      </c>
      <c r="G119" s="62" t="s">
        <v>252</v>
      </c>
      <c r="J119" s="318">
        <f>'Inputs by customer type'!J84</f>
        <v>0</v>
      </c>
      <c r="K119" s="316"/>
      <c r="L119" s="318">
        <f>'Inputs by customer type'!L84</f>
        <v>0</v>
      </c>
      <c r="M119" s="316"/>
      <c r="N119" s="318">
        <f>'Inputs by customer type'!N84</f>
        <v>40.338993706871612</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25">
      <c r="E120" s="27"/>
      <c r="F120" s="70" t="s">
        <v>254</v>
      </c>
      <c r="G120" s="70" t="s">
        <v>255</v>
      </c>
      <c r="H120" s="28"/>
      <c r="I120" s="28"/>
      <c r="J120" s="115">
        <f>'Inputs by customer type'!J85</f>
        <v>0</v>
      </c>
      <c r="K120" s="71"/>
      <c r="L120" s="115">
        <f>'Inputs by customer type'!L85</f>
        <v>0</v>
      </c>
      <c r="M120" s="71"/>
      <c r="N120" s="115">
        <f>'Inputs by customer type'!N85</f>
        <v>201.59091508799898</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155</v>
      </c>
      <c r="AQ122" s="3"/>
    </row>
    <row r="123" spans="5:43" x14ac:dyDescent="0.25">
      <c r="E123" s="27"/>
      <c r="F123" s="68" t="s">
        <v>248</v>
      </c>
      <c r="G123" s="68" t="s">
        <v>208</v>
      </c>
      <c r="H123" s="19"/>
      <c r="I123" s="19"/>
      <c r="J123" s="73"/>
      <c r="K123" s="73"/>
      <c r="L123" s="114">
        <f>'Inputs by customer type'!L88</f>
        <v>31.363778760474982</v>
      </c>
      <c r="M123" s="73"/>
      <c r="N123" s="114">
        <f>'Inputs by customer type'!N88</f>
        <v>98.074837205036971</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249</v>
      </c>
      <c r="G124" s="62" t="s">
        <v>208</v>
      </c>
      <c r="J124" s="316"/>
      <c r="K124" s="316"/>
      <c r="L124" s="318">
        <f>'Inputs by customer type'!L89</f>
        <v>280.99048763236493</v>
      </c>
      <c r="M124" s="316"/>
      <c r="N124" s="318">
        <f>'Inputs by customer type'!N89</f>
        <v>700.36590095488395</v>
      </c>
      <c r="O124" s="318">
        <f>'Inputs by customer type'!O89</f>
        <v>0</v>
      </c>
      <c r="P124" s="318">
        <f>'Inputs by customer type'!P89</f>
        <v>0</v>
      </c>
      <c r="Q124" s="316"/>
      <c r="R124" s="316"/>
      <c r="S124" s="316"/>
      <c r="T124" s="316"/>
      <c r="U124" s="316"/>
      <c r="V124" s="316"/>
      <c r="W124" s="316"/>
      <c r="X124" s="316"/>
      <c r="Y124" s="316"/>
      <c r="AQ124" s="3"/>
    </row>
    <row r="125" spans="5:43" x14ac:dyDescent="0.25">
      <c r="E125" s="27"/>
      <c r="F125" s="62" t="s">
        <v>250</v>
      </c>
      <c r="G125" s="62" t="s">
        <v>208</v>
      </c>
      <c r="J125" s="316"/>
      <c r="K125" s="316"/>
      <c r="L125" s="318">
        <f>'Inputs by customer type'!L90</f>
        <v>209.73958491116883</v>
      </c>
      <c r="M125" s="316"/>
      <c r="N125" s="318">
        <f>'Inputs by customer type'!N90</f>
        <v>685.54206334811022</v>
      </c>
      <c r="O125" s="318">
        <f>'Inputs by customer type'!O90</f>
        <v>0</v>
      </c>
      <c r="P125" s="318">
        <f>'Inputs by customer type'!P90</f>
        <v>0</v>
      </c>
      <c r="Q125" s="316"/>
      <c r="R125" s="316"/>
      <c r="S125" s="316"/>
      <c r="T125" s="316"/>
      <c r="U125" s="316"/>
      <c r="V125" s="316"/>
      <c r="W125" s="316"/>
      <c r="X125" s="316"/>
      <c r="Y125" s="316"/>
      <c r="AQ125" s="3"/>
    </row>
    <row r="126" spans="5:43" x14ac:dyDescent="0.25">
      <c r="E126" s="27"/>
      <c r="F126" s="62" t="s">
        <v>213</v>
      </c>
      <c r="G126" s="62" t="s">
        <v>213</v>
      </c>
      <c r="J126" s="316"/>
      <c r="K126" s="316"/>
      <c r="L126" s="318">
        <f>'Inputs by customer type'!L91</f>
        <v>98.326777451584476</v>
      </c>
      <c r="M126" s="316"/>
      <c r="N126" s="318">
        <f>'Inputs by customer type'!N91</f>
        <v>15.11889274576099</v>
      </c>
      <c r="O126" s="318">
        <f>'Inputs by customer type'!O91</f>
        <v>0</v>
      </c>
      <c r="P126" s="318">
        <f>'Inputs by customer type'!P91</f>
        <v>0</v>
      </c>
      <c r="Q126" s="316"/>
      <c r="R126" s="316"/>
      <c r="S126" s="316"/>
      <c r="T126" s="316"/>
      <c r="U126" s="316"/>
      <c r="V126" s="316"/>
      <c r="W126" s="316"/>
      <c r="X126" s="316"/>
      <c r="Y126" s="316"/>
      <c r="AQ126" s="3"/>
    </row>
    <row r="127" spans="5:43" x14ac:dyDescent="0.25">
      <c r="E127" s="27"/>
      <c r="F127" s="62" t="s">
        <v>251</v>
      </c>
      <c r="G127" s="62" t="s">
        <v>252</v>
      </c>
      <c r="J127" s="316"/>
      <c r="K127" s="316"/>
      <c r="L127" s="318">
        <f>'Inputs by customer type'!L92</f>
        <v>0</v>
      </c>
      <c r="M127" s="316"/>
      <c r="N127" s="318">
        <f>'Inputs by customer type'!N92</f>
        <v>2243.0710430872077</v>
      </c>
      <c r="O127" s="318">
        <f>'Inputs by customer type'!O92</f>
        <v>0</v>
      </c>
      <c r="P127" s="318">
        <f>'Inputs by customer type'!P92</f>
        <v>0</v>
      </c>
      <c r="Q127" s="316"/>
      <c r="R127" s="316"/>
      <c r="S127" s="316"/>
      <c r="T127" s="316"/>
      <c r="U127" s="316"/>
      <c r="V127" s="316"/>
      <c r="W127" s="316"/>
      <c r="X127" s="316"/>
      <c r="Y127" s="316"/>
      <c r="AQ127" s="3"/>
    </row>
    <row r="128" spans="5:43" x14ac:dyDescent="0.25">
      <c r="E128" s="27"/>
      <c r="F128" s="62" t="s">
        <v>253</v>
      </c>
      <c r="G128" s="62" t="s">
        <v>252</v>
      </c>
      <c r="J128" s="316"/>
      <c r="K128" s="316"/>
      <c r="L128" s="318">
        <f>'Inputs by customer type'!L93</f>
        <v>0</v>
      </c>
      <c r="M128" s="316"/>
      <c r="N128" s="318">
        <f>'Inputs by customer type'!N93</f>
        <v>5.3185460408082248</v>
      </c>
      <c r="O128" s="318">
        <f>'Inputs by customer type'!O93</f>
        <v>0</v>
      </c>
      <c r="P128" s="318">
        <f>'Inputs by customer type'!P93</f>
        <v>0</v>
      </c>
      <c r="Q128" s="316"/>
      <c r="R128" s="316"/>
      <c r="S128" s="316"/>
      <c r="T128" s="316"/>
      <c r="U128" s="316"/>
      <c r="V128" s="316"/>
      <c r="W128" s="316"/>
      <c r="X128" s="316"/>
      <c r="Y128" s="316"/>
      <c r="AQ128" s="3"/>
    </row>
    <row r="129" spans="5:43" x14ac:dyDescent="0.25">
      <c r="E129" s="27"/>
      <c r="F129" s="70" t="s">
        <v>254</v>
      </c>
      <c r="G129" s="70" t="s">
        <v>255</v>
      </c>
      <c r="H129" s="28"/>
      <c r="I129" s="28"/>
      <c r="J129" s="71"/>
      <c r="K129" s="71"/>
      <c r="L129" s="115">
        <f>'Inputs by customer type'!L94</f>
        <v>0</v>
      </c>
      <c r="M129" s="71"/>
      <c r="N129" s="115">
        <f>'Inputs by customer type'!N94</f>
        <v>215.46232543553398</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155</v>
      </c>
      <c r="AQ131" s="3"/>
    </row>
    <row r="132" spans="5:43" x14ac:dyDescent="0.25">
      <c r="E132" s="27"/>
      <c r="F132" s="68" t="s">
        <v>248</v>
      </c>
      <c r="G132" s="68" t="s">
        <v>208</v>
      </c>
      <c r="H132" s="19"/>
      <c r="I132" s="19"/>
      <c r="J132" s="73"/>
      <c r="K132" s="73"/>
      <c r="L132" s="114">
        <f>'Inputs by customer type'!L97</f>
        <v>30.891048833738648</v>
      </c>
      <c r="M132" s="73"/>
      <c r="N132" s="114">
        <f>'Inputs by customer type'!N97</f>
        <v>48.978322863388222</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249</v>
      </c>
      <c r="G133" s="62" t="s">
        <v>208</v>
      </c>
      <c r="J133" s="316"/>
      <c r="K133" s="316"/>
      <c r="L133" s="318">
        <f>'Inputs by customer type'!L98</f>
        <v>276.75526413947853</v>
      </c>
      <c r="M133" s="316"/>
      <c r="N133" s="318">
        <f>'Inputs by customer type'!N98</f>
        <v>349.76093967673029</v>
      </c>
      <c r="O133" s="318">
        <f>'Inputs by customer type'!O98</f>
        <v>0</v>
      </c>
      <c r="P133" s="318">
        <f>'Inputs by customer type'!P98</f>
        <v>0</v>
      </c>
      <c r="Q133" s="316"/>
      <c r="R133" s="316"/>
      <c r="S133" s="316"/>
      <c r="T133" s="316"/>
      <c r="U133" s="316"/>
      <c r="V133" s="316"/>
      <c r="W133" s="316"/>
      <c r="X133" s="316"/>
      <c r="Y133" s="316"/>
      <c r="AQ133" s="3"/>
    </row>
    <row r="134" spans="5:43" x14ac:dyDescent="0.25">
      <c r="E134" s="27"/>
      <c r="F134" s="62" t="s">
        <v>250</v>
      </c>
      <c r="G134" s="62" t="s">
        <v>208</v>
      </c>
      <c r="J134" s="316"/>
      <c r="K134" s="316"/>
      <c r="L134" s="318">
        <f>'Inputs by customer type'!L99</f>
        <v>206.57828922145066</v>
      </c>
      <c r="M134" s="316"/>
      <c r="N134" s="318">
        <f>'Inputs by customer type'!N99</f>
        <v>342.3579530894458</v>
      </c>
      <c r="O134" s="318">
        <f>'Inputs by customer type'!O99</f>
        <v>0</v>
      </c>
      <c r="P134" s="318">
        <f>'Inputs by customer type'!P99</f>
        <v>0</v>
      </c>
      <c r="Q134" s="316"/>
      <c r="R134" s="316"/>
      <c r="S134" s="316"/>
      <c r="T134" s="316"/>
      <c r="U134" s="316"/>
      <c r="V134" s="316"/>
      <c r="W134" s="316"/>
      <c r="X134" s="316"/>
      <c r="Y134" s="316"/>
      <c r="AQ134" s="3"/>
    </row>
    <row r="135" spans="5:43" x14ac:dyDescent="0.25">
      <c r="E135" s="27"/>
      <c r="F135" s="62" t="s">
        <v>213</v>
      </c>
      <c r="G135" s="62" t="s">
        <v>213</v>
      </c>
      <c r="J135" s="316"/>
      <c r="K135" s="316"/>
      <c r="L135" s="318">
        <f>'Inputs by customer type'!L100</f>
        <v>40.370463721288147</v>
      </c>
      <c r="M135" s="316"/>
      <c r="N135" s="318">
        <f>'Inputs by customer type'!N100</f>
        <v>5.0323012171107608</v>
      </c>
      <c r="O135" s="318">
        <f>'Inputs by customer type'!O100</f>
        <v>0</v>
      </c>
      <c r="P135" s="318">
        <f>'Inputs by customer type'!P100</f>
        <v>0</v>
      </c>
      <c r="Q135" s="316"/>
      <c r="R135" s="316"/>
      <c r="S135" s="316"/>
      <c r="T135" s="316"/>
      <c r="U135" s="316"/>
      <c r="V135" s="316"/>
      <c r="W135" s="316"/>
      <c r="X135" s="316"/>
      <c r="Y135" s="316"/>
      <c r="AQ135" s="3"/>
    </row>
    <row r="136" spans="5:43" x14ac:dyDescent="0.25">
      <c r="E136" s="27"/>
      <c r="F136" s="62" t="s">
        <v>251</v>
      </c>
      <c r="G136" s="62" t="s">
        <v>252</v>
      </c>
      <c r="J136" s="316"/>
      <c r="K136" s="316"/>
      <c r="L136" s="318">
        <f>'Inputs by customer type'!L101</f>
        <v>0</v>
      </c>
      <c r="M136" s="316"/>
      <c r="N136" s="318">
        <f>'Inputs by customer type'!N101</f>
        <v>1208.1231927612789</v>
      </c>
      <c r="O136" s="318">
        <f>'Inputs by customer type'!O101</f>
        <v>0</v>
      </c>
      <c r="P136" s="318">
        <f>'Inputs by customer type'!P101</f>
        <v>0</v>
      </c>
      <c r="Q136" s="316"/>
      <c r="R136" s="316"/>
      <c r="S136" s="316"/>
      <c r="T136" s="316"/>
      <c r="U136" s="316"/>
      <c r="V136" s="316"/>
      <c r="W136" s="316"/>
      <c r="X136" s="316"/>
      <c r="Y136" s="316"/>
      <c r="AQ136" s="3"/>
    </row>
    <row r="137" spans="5:43" x14ac:dyDescent="0.25">
      <c r="E137" s="27"/>
      <c r="F137" s="62" t="s">
        <v>253</v>
      </c>
      <c r="G137" s="62" t="s">
        <v>252</v>
      </c>
      <c r="J137" s="316"/>
      <c r="K137" s="316"/>
      <c r="L137" s="318">
        <f>'Inputs by customer type'!L102</f>
        <v>0</v>
      </c>
      <c r="M137" s="316"/>
      <c r="N137" s="318">
        <f>'Inputs by customer type'!N102</f>
        <v>1.2754049863866139</v>
      </c>
      <c r="O137" s="318">
        <f>'Inputs by customer type'!O102</f>
        <v>0</v>
      </c>
      <c r="P137" s="318">
        <f>'Inputs by customer type'!P102</f>
        <v>0</v>
      </c>
      <c r="Q137" s="316"/>
      <c r="R137" s="316"/>
      <c r="S137" s="316"/>
      <c r="T137" s="316"/>
      <c r="U137" s="316"/>
      <c r="V137" s="316"/>
      <c r="W137" s="316"/>
      <c r="X137" s="316"/>
      <c r="Y137" s="316"/>
      <c r="AQ137" s="3"/>
    </row>
    <row r="138" spans="5:43" x14ac:dyDescent="0.25">
      <c r="E138" s="27"/>
      <c r="F138" s="70" t="s">
        <v>254</v>
      </c>
      <c r="G138" s="70" t="s">
        <v>255</v>
      </c>
      <c r="H138" s="28"/>
      <c r="I138" s="28"/>
      <c r="J138" s="71"/>
      <c r="K138" s="71"/>
      <c r="L138" s="115">
        <f>'Inputs by customer type'!L103</f>
        <v>0</v>
      </c>
      <c r="M138" s="71"/>
      <c r="N138" s="115">
        <f>'Inputs by customer type'!N103</f>
        <v>118.76988095716746</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155</v>
      </c>
      <c r="AQ140" s="3"/>
    </row>
    <row r="141" spans="5:43" x14ac:dyDescent="0.25">
      <c r="E141" s="27"/>
      <c r="F141" s="68" t="s">
        <v>248</v>
      </c>
      <c r="G141" s="68" t="s">
        <v>208</v>
      </c>
      <c r="H141" s="19"/>
      <c r="I141" s="19"/>
      <c r="J141" s="73"/>
      <c r="K141" s="73"/>
      <c r="L141" s="114">
        <f>'Inputs by customer type'!L106</f>
        <v>102.55156830079855</v>
      </c>
      <c r="M141" s="73"/>
      <c r="N141" s="114">
        <f>'Inputs by customer type'!N106</f>
        <v>58.126773172184862</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249</v>
      </c>
      <c r="G142" s="62" t="s">
        <v>208</v>
      </c>
      <c r="J142" s="316"/>
      <c r="K142" s="316"/>
      <c r="L142" s="318">
        <f>'Inputs by customer type'!L107</f>
        <v>918.76732725265447</v>
      </c>
      <c r="M142" s="316"/>
      <c r="N142" s="318">
        <f>'Inputs by customer type'!N107</f>
        <v>415.09128154073164</v>
      </c>
      <c r="O142" s="318">
        <f>'Inputs by customer type'!O107</f>
        <v>0</v>
      </c>
      <c r="P142" s="318">
        <f>'Inputs by customer type'!P107</f>
        <v>0</v>
      </c>
      <c r="Q142" s="316"/>
      <c r="R142" s="316"/>
      <c r="S142" s="316"/>
      <c r="T142" s="316"/>
      <c r="U142" s="316"/>
      <c r="V142" s="316"/>
      <c r="W142" s="316"/>
      <c r="X142" s="316"/>
      <c r="Y142" s="316"/>
      <c r="AQ142" s="3"/>
    </row>
    <row r="143" spans="5:43" x14ac:dyDescent="0.25">
      <c r="E143" s="27"/>
      <c r="F143" s="62" t="s">
        <v>250</v>
      </c>
      <c r="G143" s="62" t="s">
        <v>208</v>
      </c>
      <c r="J143" s="316"/>
      <c r="K143" s="316"/>
      <c r="L143" s="318">
        <f>'Inputs by customer type'!L108</f>
        <v>685.79502271279046</v>
      </c>
      <c r="M143" s="316"/>
      <c r="N143" s="318">
        <f>'Inputs by customer type'!N108</f>
        <v>406.3055229234746</v>
      </c>
      <c r="O143" s="318">
        <f>'Inputs by customer type'!O108</f>
        <v>0</v>
      </c>
      <c r="P143" s="318">
        <f>'Inputs by customer type'!P108</f>
        <v>0</v>
      </c>
      <c r="Q143" s="316"/>
      <c r="R143" s="316"/>
      <c r="S143" s="316"/>
      <c r="T143" s="316"/>
      <c r="U143" s="316"/>
      <c r="V143" s="316"/>
      <c r="W143" s="316"/>
      <c r="X143" s="316"/>
      <c r="Y143" s="316"/>
      <c r="AQ143" s="3"/>
    </row>
    <row r="144" spans="5:43" x14ac:dyDescent="0.25">
      <c r="E144" s="27"/>
      <c r="F144" s="62" t="s">
        <v>213</v>
      </c>
      <c r="G144" s="62" t="s">
        <v>213</v>
      </c>
      <c r="J144" s="316"/>
      <c r="K144" s="316"/>
      <c r="L144" s="318">
        <f>'Inputs by customer type'!L109</f>
        <v>41.093105924702968</v>
      </c>
      <c r="M144" s="316"/>
      <c r="N144" s="318">
        <f>'Inputs by customer type'!N109</f>
        <v>3.2920681971103534</v>
      </c>
      <c r="O144" s="318">
        <f>'Inputs by customer type'!O109</f>
        <v>0</v>
      </c>
      <c r="P144" s="318">
        <f>'Inputs by customer type'!P109</f>
        <v>0</v>
      </c>
      <c r="Q144" s="316"/>
      <c r="R144" s="316"/>
      <c r="S144" s="316"/>
      <c r="T144" s="316"/>
      <c r="U144" s="316"/>
      <c r="V144" s="316"/>
      <c r="W144" s="316"/>
      <c r="X144" s="316"/>
      <c r="Y144" s="316"/>
      <c r="AQ144" s="3"/>
    </row>
    <row r="145" spans="3:43" x14ac:dyDescent="0.25">
      <c r="E145" s="27"/>
      <c r="F145" s="62" t="s">
        <v>251</v>
      </c>
      <c r="G145" s="62" t="s">
        <v>252</v>
      </c>
      <c r="J145" s="316"/>
      <c r="K145" s="316"/>
      <c r="L145" s="318">
        <f>'Inputs by customer type'!L110</f>
        <v>0</v>
      </c>
      <c r="M145" s="316"/>
      <c r="N145" s="318">
        <f>'Inputs by customer type'!N110</f>
        <v>1465.7068242177083</v>
      </c>
      <c r="O145" s="318">
        <f>'Inputs by customer type'!O110</f>
        <v>0</v>
      </c>
      <c r="P145" s="318">
        <f>'Inputs by customer type'!P110</f>
        <v>0</v>
      </c>
      <c r="Q145" s="316"/>
      <c r="R145" s="316"/>
      <c r="S145" s="316"/>
      <c r="T145" s="316"/>
      <c r="U145" s="316"/>
      <c r="V145" s="316"/>
      <c r="W145" s="316"/>
      <c r="X145" s="316"/>
      <c r="Y145" s="316"/>
      <c r="AQ145" s="3"/>
    </row>
    <row r="146" spans="3:43" x14ac:dyDescent="0.25">
      <c r="E146" s="27"/>
      <c r="F146" s="62" t="s">
        <v>253</v>
      </c>
      <c r="G146" s="62" t="s">
        <v>252</v>
      </c>
      <c r="J146" s="316"/>
      <c r="K146" s="316"/>
      <c r="L146" s="318">
        <f>'Inputs by customer type'!L111</f>
        <v>0</v>
      </c>
      <c r="M146" s="316"/>
      <c r="N146" s="318">
        <f>'Inputs by customer type'!N111</f>
        <v>0.25483848330452602</v>
      </c>
      <c r="O146" s="318">
        <f>'Inputs by customer type'!O111</f>
        <v>0</v>
      </c>
      <c r="P146" s="318">
        <f>'Inputs by customer type'!P111</f>
        <v>0</v>
      </c>
      <c r="Q146" s="316"/>
      <c r="R146" s="316"/>
      <c r="S146" s="316"/>
      <c r="T146" s="316"/>
      <c r="U146" s="316"/>
      <c r="V146" s="316"/>
      <c r="W146" s="316"/>
      <c r="X146" s="316"/>
      <c r="Y146" s="316"/>
      <c r="AQ146" s="3"/>
    </row>
    <row r="147" spans="3:43" x14ac:dyDescent="0.25">
      <c r="E147" s="27"/>
      <c r="F147" s="70" t="s">
        <v>254</v>
      </c>
      <c r="G147" s="70" t="s">
        <v>255</v>
      </c>
      <c r="H147" s="28"/>
      <c r="I147" s="28"/>
      <c r="J147" s="71"/>
      <c r="K147" s="71"/>
      <c r="L147" s="115">
        <f>'Inputs by customer type'!L112</f>
        <v>0</v>
      </c>
      <c r="M147" s="71"/>
      <c r="N147" s="115">
        <f>'Inputs by customer type'!N112</f>
        <v>151.24982993110368</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155</v>
      </c>
      <c r="AQ151" s="3"/>
    </row>
    <row r="152" spans="3:43" x14ac:dyDescent="0.25">
      <c r="E152" s="27"/>
      <c r="F152" s="68" t="s">
        <v>248</v>
      </c>
      <c r="G152" s="68" t="s">
        <v>208</v>
      </c>
      <c r="H152" s="19"/>
      <c r="I152" s="19"/>
      <c r="J152" s="73"/>
      <c r="K152" s="114">
        <f>'Inputs by customer type'!K117</f>
        <v>0</v>
      </c>
      <c r="L152" s="114">
        <f>'Inputs by customer type'!L117</f>
        <v>1.7942296743666004E-2</v>
      </c>
      <c r="M152" s="114">
        <f>'Inputs by customer type'!M117</f>
        <v>0</v>
      </c>
      <c r="N152" s="114">
        <f>'Inputs by customer type'!N117</f>
        <v>7.7737985533873246</v>
      </c>
      <c r="O152" s="114">
        <f>'Inputs by customer type'!O117</f>
        <v>0.56633149213877765</v>
      </c>
      <c r="P152" s="114">
        <f>'Inputs by customer type'!P117</f>
        <v>3.5054593956071423</v>
      </c>
      <c r="Q152" s="73"/>
      <c r="R152" s="114">
        <f>'Inputs by customer type'!R117</f>
        <v>6.234</v>
      </c>
      <c r="S152" s="114">
        <f>'Inputs by customer type'!S117</f>
        <v>0</v>
      </c>
      <c r="T152" s="114">
        <f>'Inputs by customer type'!T117</f>
        <v>7.8260000000000032</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249</v>
      </c>
      <c r="G153" s="62" t="s">
        <v>208</v>
      </c>
      <c r="J153" s="316"/>
      <c r="K153" s="318">
        <f>'Inputs by customer type'!K118</f>
        <v>0</v>
      </c>
      <c r="L153" s="318">
        <f>'Inputs by customer type'!L118</f>
        <v>0.14336231929097859</v>
      </c>
      <c r="M153" s="318">
        <f>'Inputs by customer type'!M118</f>
        <v>0</v>
      </c>
      <c r="N153" s="318">
        <f>'Inputs by customer type'!N118</f>
        <v>50.234699476143327</v>
      </c>
      <c r="O153" s="318">
        <f>'Inputs by customer type'!O118</f>
        <v>3.433521502551768</v>
      </c>
      <c r="P153" s="318">
        <f>'Inputs by customer type'!P118</f>
        <v>22.765066895488712</v>
      </c>
      <c r="Q153" s="316"/>
      <c r="R153" s="318">
        <f>'Inputs by customer type'!R118</f>
        <v>163.50900000000001</v>
      </c>
      <c r="S153" s="318">
        <f>'Inputs by customer type'!S118</f>
        <v>0</v>
      </c>
      <c r="T153" s="318">
        <f>'Inputs by customer type'!T118</f>
        <v>65.302000000000007</v>
      </c>
      <c r="U153" s="318">
        <f>'Inputs by customer type'!U118</f>
        <v>0</v>
      </c>
      <c r="V153" s="318">
        <f>'Inputs by customer type'!V118</f>
        <v>0</v>
      </c>
      <c r="W153" s="318">
        <f>'Inputs by customer type'!W118</f>
        <v>0</v>
      </c>
      <c r="X153" s="318">
        <f>'Inputs by customer type'!X118</f>
        <v>0</v>
      </c>
      <c r="Y153" s="318">
        <f>'Inputs by customer type'!Y118</f>
        <v>0</v>
      </c>
      <c r="AQ153" s="3"/>
    </row>
    <row r="154" spans="3:43" x14ac:dyDescent="0.25">
      <c r="E154" s="27"/>
      <c r="F154" s="62" t="s">
        <v>250</v>
      </c>
      <c r="G154" s="62" t="s">
        <v>208</v>
      </c>
      <c r="J154" s="316"/>
      <c r="K154" s="318">
        <f>'Inputs by customer type'!K119</f>
        <v>0</v>
      </c>
      <c r="L154" s="318">
        <f>'Inputs by customer type'!L119</f>
        <v>0.10861382418751396</v>
      </c>
      <c r="M154" s="318">
        <f>'Inputs by customer type'!M119</f>
        <v>0</v>
      </c>
      <c r="N154" s="318">
        <f>'Inputs by customer type'!N119</f>
        <v>48.49864249491587</v>
      </c>
      <c r="O154" s="318">
        <f>'Inputs by customer type'!O119</f>
        <v>4.1287367021650692</v>
      </c>
      <c r="P154" s="318">
        <f>'Inputs by customer type'!P119</f>
        <v>26.244822906227778</v>
      </c>
      <c r="Q154" s="316"/>
      <c r="R154" s="318">
        <f>'Inputs by customer type'!R119</f>
        <v>56.274000000000008</v>
      </c>
      <c r="S154" s="318">
        <f>'Inputs by customer type'!S119</f>
        <v>0</v>
      </c>
      <c r="T154" s="318">
        <f>'Inputs by customer type'!T119</f>
        <v>69.393999999999991</v>
      </c>
      <c r="U154" s="318">
        <f>'Inputs by customer type'!U119</f>
        <v>0</v>
      </c>
      <c r="V154" s="318">
        <f>'Inputs by customer type'!V119</f>
        <v>0</v>
      </c>
      <c r="W154" s="318">
        <f>'Inputs by customer type'!W119</f>
        <v>0</v>
      </c>
      <c r="X154" s="318">
        <f>'Inputs by customer type'!X119</f>
        <v>0</v>
      </c>
      <c r="Y154" s="318">
        <f>'Inputs by customer type'!Y119</f>
        <v>0</v>
      </c>
      <c r="AQ154" s="3"/>
    </row>
    <row r="155" spans="3:43" x14ac:dyDescent="0.25">
      <c r="E155" s="27"/>
      <c r="F155" s="62" t="s">
        <v>213</v>
      </c>
      <c r="G155" s="62" t="s">
        <v>213</v>
      </c>
      <c r="J155" s="316"/>
      <c r="K155" s="318">
        <f>'Inputs by customer type'!K120</f>
        <v>0</v>
      </c>
      <c r="L155" s="318">
        <f>'Inputs by customer type'!L120</f>
        <v>0.47469967463076912</v>
      </c>
      <c r="M155" s="318">
        <f>'Inputs by customer type'!M120</f>
        <v>0</v>
      </c>
      <c r="N155" s="318">
        <f>'Inputs by customer type'!N120</f>
        <v>2.7407148406421262</v>
      </c>
      <c r="O155" s="318">
        <f>'Inputs by customer type'!O120</f>
        <v>4.9903394748886803E-2</v>
      </c>
      <c r="P155" s="318">
        <f>'Inputs by customer type'!P120</f>
        <v>1.2716062387303642</v>
      </c>
      <c r="Q155" s="316"/>
      <c r="R155" s="318">
        <f>'Inputs by customer type'!R120</f>
        <v>0</v>
      </c>
      <c r="S155" s="318">
        <f>'Inputs by customer type'!S120</f>
        <v>0</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25">
      <c r="E156" s="27"/>
      <c r="F156" s="62" t="s">
        <v>251</v>
      </c>
      <c r="G156" s="62" t="s">
        <v>252</v>
      </c>
      <c r="J156" s="316"/>
      <c r="K156" s="318">
        <f>'Inputs by customer type'!K121</f>
        <v>0</v>
      </c>
      <c r="L156" s="318">
        <f>'Inputs by customer type'!L121</f>
        <v>0</v>
      </c>
      <c r="M156" s="318">
        <f>'Inputs by customer type'!M121</f>
        <v>0</v>
      </c>
      <c r="N156" s="318">
        <f>'Inputs by customer type'!N121</f>
        <v>168.07103246758192</v>
      </c>
      <c r="O156" s="318">
        <f>'Inputs by customer type'!O121</f>
        <v>12.392712598545598</v>
      </c>
      <c r="P156" s="318">
        <f>'Inputs by customer type'!P121</f>
        <v>321.35573658571514</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25">
      <c r="E157" s="27"/>
      <c r="F157" s="62" t="s">
        <v>253</v>
      </c>
      <c r="G157" s="62" t="s">
        <v>252</v>
      </c>
      <c r="J157" s="316"/>
      <c r="K157" s="318">
        <f>'Inputs by customer type'!K122</f>
        <v>0</v>
      </c>
      <c r="L157" s="318">
        <f>'Inputs by customer type'!L122</f>
        <v>0</v>
      </c>
      <c r="M157" s="318">
        <f>'Inputs by customer type'!M122</f>
        <v>0</v>
      </c>
      <c r="N157" s="318">
        <f>'Inputs by customer type'!N122</f>
        <v>1.9388600055514318</v>
      </c>
      <c r="O157" s="318">
        <f>'Inputs by customer type'!O122</f>
        <v>0</v>
      </c>
      <c r="P157" s="318">
        <f>'Inputs by customer type'!P122</f>
        <v>0</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25">
      <c r="E158" s="27"/>
      <c r="F158" s="70" t="s">
        <v>254</v>
      </c>
      <c r="G158" s="70" t="s">
        <v>255</v>
      </c>
      <c r="H158" s="28"/>
      <c r="I158" s="28"/>
      <c r="J158" s="71"/>
      <c r="K158" s="115">
        <f>'Inputs by customer type'!K123</f>
        <v>0</v>
      </c>
      <c r="L158" s="115">
        <f>'Inputs by customer type'!L123</f>
        <v>0</v>
      </c>
      <c r="M158" s="115">
        <f>'Inputs by customer type'!M123</f>
        <v>0</v>
      </c>
      <c r="N158" s="115">
        <f>'Inputs by customer type'!N123</f>
        <v>12.762222433231312</v>
      </c>
      <c r="O158" s="115">
        <f>'Inputs by customer type'!O123</f>
        <v>0.45989790921274154</v>
      </c>
      <c r="P158" s="115">
        <f>'Inputs by customer type'!P123</f>
        <v>10.79241365374588</v>
      </c>
      <c r="Q158" s="71"/>
      <c r="R158" s="115">
        <f>'Inputs by customer type'!R123</f>
        <v>0</v>
      </c>
      <c r="S158" s="115">
        <f>'Inputs by customer type'!S123</f>
        <v>0</v>
      </c>
      <c r="T158" s="115">
        <f>'Inputs by customer type'!T123</f>
        <v>11.432412652588173</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155</v>
      </c>
      <c r="AQ160" s="3"/>
    </row>
    <row r="161" spans="5:43" x14ac:dyDescent="0.25">
      <c r="E161" s="27"/>
      <c r="F161" s="68" t="s">
        <v>248</v>
      </c>
      <c r="G161" s="68" t="s">
        <v>208</v>
      </c>
      <c r="H161" s="19"/>
      <c r="I161" s="19"/>
      <c r="J161" s="114">
        <f>'Inputs by customer type'!J126</f>
        <v>12729.688281288001</v>
      </c>
      <c r="K161" s="73"/>
      <c r="L161" s="114">
        <f>'Inputs by customer type'!L126</f>
        <v>47.883581224452058</v>
      </c>
      <c r="M161" s="73"/>
      <c r="N161" s="114">
        <f>'Inputs by customer type'!N126</f>
        <v>1787.6714522439731</v>
      </c>
      <c r="O161" s="114">
        <f>'Inputs by customer type'!O126</f>
        <v>36.153416670684742</v>
      </c>
      <c r="P161" s="114">
        <f>'Inputs by customer type'!P126</f>
        <v>106.22353589974244</v>
      </c>
      <c r="Q161" s="114">
        <f>'Inputs by customer type'!Q126</f>
        <v>0</v>
      </c>
      <c r="R161" s="73"/>
      <c r="S161" s="73"/>
      <c r="T161" s="73"/>
      <c r="U161" s="73"/>
      <c r="V161" s="73"/>
      <c r="W161" s="73"/>
      <c r="X161" s="73"/>
      <c r="Y161" s="73"/>
      <c r="AQ161" s="3"/>
    </row>
    <row r="162" spans="5:43" x14ac:dyDescent="0.25">
      <c r="E162" s="27"/>
      <c r="F162" s="62" t="s">
        <v>249</v>
      </c>
      <c r="G162" s="62" t="s">
        <v>208</v>
      </c>
      <c r="J162" s="318">
        <f>'Inputs by customer type'!J127</f>
        <v>64023.44241600002</v>
      </c>
      <c r="K162" s="316"/>
      <c r="L162" s="318">
        <f>'Inputs by customer type'!L127</f>
        <v>382.59880317266413</v>
      </c>
      <c r="M162" s="316"/>
      <c r="N162" s="318">
        <f>'Inputs by customer type'!N127</f>
        <v>11552.027949891526</v>
      </c>
      <c r="O162" s="318">
        <f>'Inputs by customer type'!O127</f>
        <v>219.18882359996172</v>
      </c>
      <c r="P162" s="318">
        <f>'Inputs by customer type'!P127</f>
        <v>689.83423504015673</v>
      </c>
      <c r="Q162" s="318">
        <f>'Inputs by customer type'!Q127</f>
        <v>0</v>
      </c>
      <c r="R162" s="316"/>
      <c r="S162" s="316"/>
      <c r="T162" s="316"/>
      <c r="U162" s="316"/>
      <c r="V162" s="316"/>
      <c r="W162" s="316"/>
      <c r="X162" s="316"/>
      <c r="Y162" s="316"/>
      <c r="AQ162" s="3"/>
    </row>
    <row r="163" spans="5:43" x14ac:dyDescent="0.25">
      <c r="E163" s="27"/>
      <c r="F163" s="62" t="s">
        <v>250</v>
      </c>
      <c r="G163" s="62" t="s">
        <v>208</v>
      </c>
      <c r="J163" s="318">
        <f>'Inputs by customer type'!J128</f>
        <v>64026.581807736024</v>
      </c>
      <c r="K163" s="316"/>
      <c r="L163" s="318">
        <f>'Inputs by customer type'!L128</f>
        <v>289.86360814800224</v>
      </c>
      <c r="M163" s="316"/>
      <c r="N163" s="318">
        <f>'Inputs by customer type'!N128</f>
        <v>11152.802335348573</v>
      </c>
      <c r="O163" s="318">
        <f>'Inputs by customer type'!O128</f>
        <v>263.56990629852692</v>
      </c>
      <c r="P163" s="318">
        <f>'Inputs by customer type'!P128</f>
        <v>795.27889886718299</v>
      </c>
      <c r="Q163" s="318">
        <f>'Inputs by customer type'!Q128</f>
        <v>0</v>
      </c>
      <c r="R163" s="316"/>
      <c r="S163" s="316"/>
      <c r="T163" s="316"/>
      <c r="U163" s="316"/>
      <c r="V163" s="316"/>
      <c r="W163" s="316"/>
      <c r="X163" s="316"/>
      <c r="Y163" s="316"/>
      <c r="AQ163" s="3"/>
    </row>
    <row r="164" spans="5:43" x14ac:dyDescent="0.25">
      <c r="E164" s="27"/>
      <c r="F164" s="62" t="s">
        <v>213</v>
      </c>
      <c r="G164" s="62" t="s">
        <v>213</v>
      </c>
      <c r="J164" s="318">
        <f>'Inputs by customer type'!J129</f>
        <v>47384.722591912338</v>
      </c>
      <c r="K164" s="316"/>
      <c r="L164" s="318">
        <f>'Inputs by customer type'!L129</f>
        <v>545.49302201110834</v>
      </c>
      <c r="M164" s="316"/>
      <c r="N164" s="318">
        <f>'Inputs by customer type'!N129</f>
        <v>185.92133676854928</v>
      </c>
      <c r="O164" s="318">
        <f>'Inputs by customer type'!O129</f>
        <v>2.1372730861053002</v>
      </c>
      <c r="P164" s="318">
        <f>'Inputs by customer type'!P129</f>
        <v>2.8651398562927874</v>
      </c>
      <c r="Q164" s="318">
        <f>'Inputs by customer type'!Q129</f>
        <v>0</v>
      </c>
      <c r="R164" s="316"/>
      <c r="S164" s="316"/>
      <c r="T164" s="316"/>
      <c r="U164" s="316"/>
      <c r="V164" s="316"/>
      <c r="W164" s="316"/>
      <c r="X164" s="316"/>
      <c r="Y164" s="316"/>
      <c r="AQ164" s="3"/>
    </row>
    <row r="165" spans="5:43" x14ac:dyDescent="0.25">
      <c r="E165" s="27"/>
      <c r="F165" s="62" t="s">
        <v>251</v>
      </c>
      <c r="G165" s="62" t="s">
        <v>252</v>
      </c>
      <c r="J165" s="318">
        <f>'Inputs by customer type'!J130</f>
        <v>0</v>
      </c>
      <c r="K165" s="316"/>
      <c r="L165" s="318">
        <f>'Inputs by customer type'!L130</f>
        <v>0</v>
      </c>
      <c r="M165" s="316"/>
      <c r="N165" s="318">
        <f>'Inputs by customer type'!N130</f>
        <v>15926.32331114382</v>
      </c>
      <c r="O165" s="318">
        <f>'Inputs by customer type'!O130</f>
        <v>344.98188512792871</v>
      </c>
      <c r="P165" s="318">
        <f>'Inputs by customer type'!P130</f>
        <v>1263.1685386266458</v>
      </c>
      <c r="Q165" s="318">
        <f>'Inputs by customer type'!Q130</f>
        <v>0</v>
      </c>
      <c r="R165" s="316"/>
      <c r="S165" s="316"/>
      <c r="T165" s="316"/>
      <c r="U165" s="316"/>
      <c r="V165" s="316"/>
      <c r="W165" s="316"/>
      <c r="X165" s="316"/>
      <c r="Y165" s="316"/>
      <c r="AQ165" s="3"/>
    </row>
    <row r="166" spans="5:43" x14ac:dyDescent="0.25">
      <c r="E166" s="27"/>
      <c r="F166" s="62" t="s">
        <v>253</v>
      </c>
      <c r="G166" s="62" t="s">
        <v>252</v>
      </c>
      <c r="J166" s="318">
        <f>'Inputs by customer type'!J131</f>
        <v>0</v>
      </c>
      <c r="K166" s="316"/>
      <c r="L166" s="318">
        <f>'Inputs by customer type'!L131</f>
        <v>0</v>
      </c>
      <c r="M166" s="316"/>
      <c r="N166" s="318">
        <f>'Inputs by customer type'!N131</f>
        <v>104.94253506204127</v>
      </c>
      <c r="O166" s="318">
        <f>'Inputs by customer type'!O131</f>
        <v>0</v>
      </c>
      <c r="P166" s="318">
        <f>'Inputs by customer type'!P131</f>
        <v>0</v>
      </c>
      <c r="Q166" s="318">
        <f>'Inputs by customer type'!Q131</f>
        <v>0</v>
      </c>
      <c r="R166" s="316"/>
      <c r="S166" s="316"/>
      <c r="T166" s="316"/>
      <c r="U166" s="316"/>
      <c r="V166" s="316"/>
      <c r="W166" s="316"/>
      <c r="X166" s="316"/>
      <c r="Y166" s="316"/>
      <c r="AQ166" s="3"/>
    </row>
    <row r="167" spans="5:43" x14ac:dyDescent="0.25">
      <c r="E167" s="27"/>
      <c r="F167" s="70" t="s">
        <v>254</v>
      </c>
      <c r="G167" s="70" t="s">
        <v>255</v>
      </c>
      <c r="H167" s="28"/>
      <c r="I167" s="28"/>
      <c r="J167" s="115">
        <f>'Inputs by customer type'!J132</f>
        <v>0</v>
      </c>
      <c r="K167" s="71"/>
      <c r="L167" s="115">
        <f>'Inputs by customer type'!L132</f>
        <v>0</v>
      </c>
      <c r="M167" s="71"/>
      <c r="N167" s="115">
        <f>'Inputs by customer type'!N132</f>
        <v>798.25451362963304</v>
      </c>
      <c r="O167" s="115">
        <f>'Inputs by customer type'!O132</f>
        <v>10.1581920135517</v>
      </c>
      <c r="P167" s="115">
        <f>'Inputs by customer type'!P132</f>
        <v>44.741365933266394</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155</v>
      </c>
      <c r="AQ169" s="3"/>
    </row>
    <row r="170" spans="5:43" x14ac:dyDescent="0.25">
      <c r="E170" s="27"/>
      <c r="F170" s="68" t="s">
        <v>248</v>
      </c>
      <c r="G170" s="68" t="s">
        <v>208</v>
      </c>
      <c r="H170" s="19"/>
      <c r="I170" s="19"/>
      <c r="J170" s="73"/>
      <c r="K170" s="73"/>
      <c r="L170" s="114">
        <f>'Inputs by customer type'!L135</f>
        <v>191.53506094941929</v>
      </c>
      <c r="M170" s="73"/>
      <c r="N170" s="114">
        <f>'Inputs by customer type'!N135</f>
        <v>2052.7744093051761</v>
      </c>
      <c r="O170" s="114">
        <f>'Inputs by customer type'!O135</f>
        <v>88.7175253574419</v>
      </c>
      <c r="P170" s="114">
        <f>'Inputs by customer type'!P135</f>
        <v>326.81395614084664</v>
      </c>
      <c r="Q170" s="73"/>
      <c r="R170" s="73"/>
      <c r="S170" s="73"/>
      <c r="T170" s="73"/>
      <c r="U170" s="73"/>
      <c r="V170" s="73"/>
      <c r="W170" s="73"/>
      <c r="X170" s="73"/>
      <c r="Y170" s="73"/>
      <c r="AQ170" s="3"/>
    </row>
    <row r="171" spans="5:43" x14ac:dyDescent="0.25">
      <c r="E171" s="27"/>
      <c r="F171" s="62" t="s">
        <v>249</v>
      </c>
      <c r="G171" s="62" t="s">
        <v>208</v>
      </c>
      <c r="J171" s="316"/>
      <c r="K171" s="316"/>
      <c r="L171" s="318">
        <f>'Inputs by customer type'!L136</f>
        <v>1530.4010938812073</v>
      </c>
      <c r="M171" s="316"/>
      <c r="N171" s="318">
        <f>'Inputs by customer type'!N136</f>
        <v>13265.137350237848</v>
      </c>
      <c r="O171" s="318">
        <f>'Inputs by customer type'!O136</f>
        <v>537.87143253780766</v>
      </c>
      <c r="P171" s="318">
        <f>'Inputs by customer type'!P136</f>
        <v>2122.3870352767544</v>
      </c>
      <c r="Q171" s="316"/>
      <c r="R171" s="316"/>
      <c r="S171" s="316"/>
      <c r="T171" s="316"/>
      <c r="U171" s="316"/>
      <c r="V171" s="316"/>
      <c r="W171" s="316"/>
      <c r="X171" s="316"/>
      <c r="Y171" s="316"/>
      <c r="AQ171" s="3"/>
    </row>
    <row r="172" spans="5:43" x14ac:dyDescent="0.25">
      <c r="E172" s="27"/>
      <c r="F172" s="62" t="s">
        <v>250</v>
      </c>
      <c r="G172" s="62" t="s">
        <v>208</v>
      </c>
      <c r="J172" s="316"/>
      <c r="K172" s="316"/>
      <c r="L172" s="318">
        <f>'Inputs by customer type'!L137</f>
        <v>1159.4588882858038</v>
      </c>
      <c r="M172" s="316"/>
      <c r="N172" s="318">
        <f>'Inputs by customer type'!N137</f>
        <v>12806.708524267502</v>
      </c>
      <c r="O172" s="318">
        <f>'Inputs by customer type'!O137</f>
        <v>646.77897689428164</v>
      </c>
      <c r="P172" s="318">
        <f>'Inputs by customer type'!P137</f>
        <v>2446.8046650172796</v>
      </c>
      <c r="Q172" s="316"/>
      <c r="R172" s="316"/>
      <c r="S172" s="316"/>
      <c r="T172" s="316"/>
      <c r="U172" s="316"/>
      <c r="V172" s="316"/>
      <c r="W172" s="316"/>
      <c r="X172" s="316"/>
      <c r="Y172" s="316"/>
      <c r="AQ172" s="3"/>
    </row>
    <row r="173" spans="5:43" x14ac:dyDescent="0.25">
      <c r="E173" s="27"/>
      <c r="F173" s="62" t="s">
        <v>213</v>
      </c>
      <c r="G173" s="62" t="s">
        <v>213</v>
      </c>
      <c r="J173" s="316"/>
      <c r="K173" s="316"/>
      <c r="L173" s="318">
        <f>'Inputs by customer type'!L138</f>
        <v>369.75289177748181</v>
      </c>
      <c r="M173" s="316"/>
      <c r="N173" s="318">
        <f>'Inputs by customer type'!N138</f>
        <v>119.36045595803728</v>
      </c>
      <c r="O173" s="318">
        <f>'Inputs by customer type'!O138</f>
        <v>2.900759682417045</v>
      </c>
      <c r="P173" s="318">
        <f>'Inputs by customer type'!P138</f>
        <v>3.5614308549914604</v>
      </c>
      <c r="Q173" s="316"/>
      <c r="R173" s="316"/>
      <c r="S173" s="316"/>
      <c r="T173" s="316"/>
      <c r="U173" s="316"/>
      <c r="V173" s="316"/>
      <c r="W173" s="316"/>
      <c r="X173" s="316"/>
      <c r="Y173" s="316"/>
      <c r="AQ173" s="3"/>
    </row>
    <row r="174" spans="5:43" x14ac:dyDescent="0.25">
      <c r="E174" s="27"/>
      <c r="F174" s="62" t="s">
        <v>251</v>
      </c>
      <c r="G174" s="62" t="s">
        <v>252</v>
      </c>
      <c r="J174" s="316"/>
      <c r="K174" s="316"/>
      <c r="L174" s="318">
        <f>'Inputs by customer type'!L139</f>
        <v>0</v>
      </c>
      <c r="M174" s="316"/>
      <c r="N174" s="318">
        <f>'Inputs by customer type'!N139</f>
        <v>25144.691420939856</v>
      </c>
      <c r="O174" s="318">
        <f>'Inputs by customer type'!O139</f>
        <v>984.44697896370167</v>
      </c>
      <c r="P174" s="318">
        <f>'Inputs by customer type'!P139</f>
        <v>4262.2484733268338</v>
      </c>
      <c r="Q174" s="316"/>
      <c r="R174" s="316"/>
      <c r="S174" s="316"/>
      <c r="T174" s="316"/>
      <c r="U174" s="316"/>
      <c r="V174" s="316"/>
      <c r="W174" s="316"/>
      <c r="X174" s="316"/>
      <c r="Y174" s="316"/>
      <c r="AQ174" s="3"/>
    </row>
    <row r="175" spans="5:43" x14ac:dyDescent="0.25">
      <c r="E175" s="27"/>
      <c r="F175" s="62" t="s">
        <v>253</v>
      </c>
      <c r="G175" s="62" t="s">
        <v>252</v>
      </c>
      <c r="J175" s="316"/>
      <c r="K175" s="316"/>
      <c r="L175" s="318">
        <f>'Inputs by customer type'!L140</f>
        <v>0</v>
      </c>
      <c r="M175" s="316"/>
      <c r="N175" s="318">
        <f>'Inputs by customer type'!N140</f>
        <v>13.836282293564508</v>
      </c>
      <c r="O175" s="318">
        <f>'Inputs by customer type'!O140</f>
        <v>0</v>
      </c>
      <c r="P175" s="318">
        <f>'Inputs by customer type'!P140</f>
        <v>0</v>
      </c>
      <c r="Q175" s="316"/>
      <c r="R175" s="316"/>
      <c r="S175" s="316"/>
      <c r="T175" s="316"/>
      <c r="U175" s="316"/>
      <c r="V175" s="316"/>
      <c r="W175" s="316"/>
      <c r="X175" s="316"/>
      <c r="Y175" s="316"/>
      <c r="AQ175" s="3"/>
    </row>
    <row r="176" spans="5:43" x14ac:dyDescent="0.25">
      <c r="E176" s="27"/>
      <c r="F176" s="70" t="s">
        <v>254</v>
      </c>
      <c r="G176" s="70" t="s">
        <v>255</v>
      </c>
      <c r="H176" s="28"/>
      <c r="I176" s="28"/>
      <c r="J176" s="71"/>
      <c r="K176" s="71"/>
      <c r="L176" s="115">
        <f>'Inputs by customer type'!L141</f>
        <v>0</v>
      </c>
      <c r="M176" s="71"/>
      <c r="N176" s="115">
        <f>'Inputs by customer type'!N141</f>
        <v>853.18216706825672</v>
      </c>
      <c r="O176" s="115">
        <f>'Inputs by customer type'!O141</f>
        <v>18.237790525480047</v>
      </c>
      <c r="P176" s="115">
        <f>'Inputs by customer type'!P141</f>
        <v>95.327713785052126</v>
      </c>
      <c r="Q176" s="71"/>
      <c r="R176" s="71"/>
      <c r="S176" s="71"/>
      <c r="T176" s="71"/>
      <c r="U176" s="71"/>
      <c r="V176" s="71"/>
      <c r="W176" s="71"/>
      <c r="X176" s="71"/>
      <c r="Y176" s="71"/>
      <c r="AQ176" s="3"/>
    </row>
    <row r="177" spans="5:43" x14ac:dyDescent="0.25">
      <c r="AQ177" s="3"/>
    </row>
    <row r="178" spans="5:43" x14ac:dyDescent="0.25">
      <c r="E178" s="27" t="s">
        <v>954</v>
      </c>
      <c r="G178" s="12"/>
      <c r="I178" t="s">
        <v>155</v>
      </c>
      <c r="AQ178" s="3"/>
    </row>
    <row r="179" spans="5:43" x14ac:dyDescent="0.25">
      <c r="E179" s="27"/>
      <c r="F179" s="68" t="s">
        <v>248</v>
      </c>
      <c r="G179" s="68" t="s">
        <v>208</v>
      </c>
      <c r="H179" s="19"/>
      <c r="I179" s="19"/>
      <c r="J179" s="73"/>
      <c r="K179" s="73"/>
      <c r="L179" s="114">
        <f>'Inputs by customer type'!L144</f>
        <v>188.64815258223734</v>
      </c>
      <c r="M179" s="73"/>
      <c r="N179" s="114">
        <f>'Inputs by customer type'!N144</f>
        <v>1025.1502898185418</v>
      </c>
      <c r="O179" s="114">
        <f>'Inputs by customer type'!O144</f>
        <v>90.844554015568988</v>
      </c>
      <c r="P179" s="114">
        <f>'Inputs by customer type'!P144</f>
        <v>223.28298466693087</v>
      </c>
      <c r="Q179" s="73"/>
      <c r="R179" s="73"/>
      <c r="S179" s="73"/>
      <c r="T179" s="73"/>
      <c r="U179" s="73"/>
      <c r="V179" s="73"/>
      <c r="W179" s="73"/>
      <c r="X179" s="73"/>
      <c r="Y179" s="73"/>
      <c r="AQ179" s="3"/>
    </row>
    <row r="180" spans="5:43" x14ac:dyDescent="0.25">
      <c r="E180" s="27"/>
      <c r="F180" s="62" t="s">
        <v>249</v>
      </c>
      <c r="G180" s="62" t="s">
        <v>208</v>
      </c>
      <c r="J180" s="316"/>
      <c r="K180" s="316"/>
      <c r="L180" s="318">
        <f>'Inputs by customer type'!L145</f>
        <v>1507.3341540678393</v>
      </c>
      <c r="M180" s="316"/>
      <c r="N180" s="318">
        <f>'Inputs by customer type'!N145</f>
        <v>6624.5756657118536</v>
      </c>
      <c r="O180" s="318">
        <f>'Inputs by customer type'!O145</f>
        <v>550.76705768950524</v>
      </c>
      <c r="P180" s="318">
        <f>'Inputs by customer type'!P145</f>
        <v>1450.038784912721</v>
      </c>
      <c r="Q180" s="316"/>
      <c r="R180" s="316"/>
      <c r="S180" s="316"/>
      <c r="T180" s="316"/>
      <c r="U180" s="316"/>
      <c r="V180" s="316"/>
      <c r="W180" s="316"/>
      <c r="X180" s="316"/>
      <c r="Y180" s="316"/>
      <c r="AQ180" s="3"/>
    </row>
    <row r="181" spans="5:43" x14ac:dyDescent="0.25">
      <c r="E181" s="27"/>
      <c r="F181" s="62" t="s">
        <v>250</v>
      </c>
      <c r="G181" s="62" t="s">
        <v>208</v>
      </c>
      <c r="J181" s="316"/>
      <c r="K181" s="316"/>
      <c r="L181" s="318">
        <f>'Inputs by customer type'!L146</f>
        <v>1141.9829674313989</v>
      </c>
      <c r="M181" s="316"/>
      <c r="N181" s="318">
        <f>'Inputs by customer type'!N146</f>
        <v>6395.6374825026496</v>
      </c>
      <c r="O181" s="318">
        <f>'Inputs by customer type'!O146</f>
        <v>662.28569232379243</v>
      </c>
      <c r="P181" s="318">
        <f>'Inputs by customer type'!P146</f>
        <v>1671.6845723276801</v>
      </c>
      <c r="Q181" s="316"/>
      <c r="R181" s="316"/>
      <c r="S181" s="316"/>
      <c r="T181" s="316"/>
      <c r="U181" s="316"/>
      <c r="V181" s="316"/>
      <c r="W181" s="316"/>
      <c r="X181" s="316"/>
      <c r="Y181" s="316"/>
      <c r="AQ181" s="3"/>
    </row>
    <row r="182" spans="5:43" x14ac:dyDescent="0.25">
      <c r="E182" s="27"/>
      <c r="F182" s="62" t="s">
        <v>213</v>
      </c>
      <c r="G182" s="62" t="s">
        <v>213</v>
      </c>
      <c r="J182" s="316"/>
      <c r="K182" s="316"/>
      <c r="L182" s="318">
        <f>'Inputs by customer type'!L147</f>
        <v>151.81109449757187</v>
      </c>
      <c r="M182" s="316"/>
      <c r="N182" s="318">
        <f>'Inputs by customer type'!N147</f>
        <v>39.728952238313731</v>
      </c>
      <c r="O182" s="318">
        <f>'Inputs by customer type'!O147</f>
        <v>1.9505202347164174</v>
      </c>
      <c r="P182" s="318">
        <f>'Inputs by customer type'!P147</f>
        <v>1.0974892268007526</v>
      </c>
      <c r="Q182" s="316"/>
      <c r="R182" s="316"/>
      <c r="S182" s="316"/>
      <c r="T182" s="316"/>
      <c r="U182" s="316"/>
      <c r="V182" s="316"/>
      <c r="W182" s="316"/>
      <c r="X182" s="316"/>
      <c r="Y182" s="316"/>
      <c r="AQ182" s="3"/>
    </row>
    <row r="183" spans="5:43" x14ac:dyDescent="0.25">
      <c r="E183" s="27"/>
      <c r="F183" s="62" t="s">
        <v>251</v>
      </c>
      <c r="G183" s="62" t="s">
        <v>252</v>
      </c>
      <c r="J183" s="316"/>
      <c r="K183" s="316"/>
      <c r="L183" s="318">
        <f>'Inputs by customer type'!L148</f>
        <v>0</v>
      </c>
      <c r="M183" s="316"/>
      <c r="N183" s="318">
        <f>'Inputs by customer type'!N148</f>
        <v>13542.98829458963</v>
      </c>
      <c r="O183" s="318">
        <f>'Inputs by customer type'!O148</f>
        <v>1048.1531688081477</v>
      </c>
      <c r="P183" s="318">
        <f>'Inputs by customer type'!P148</f>
        <v>2612.1373957549358</v>
      </c>
      <c r="Q183" s="316"/>
      <c r="R183" s="316"/>
      <c r="S183" s="316"/>
      <c r="T183" s="316"/>
      <c r="U183" s="316"/>
      <c r="V183" s="316"/>
      <c r="W183" s="316"/>
      <c r="X183" s="316"/>
      <c r="Y183" s="316"/>
      <c r="AQ183" s="3"/>
    </row>
    <row r="184" spans="5:43" x14ac:dyDescent="0.25">
      <c r="E184" s="27"/>
      <c r="F184" s="62" t="s">
        <v>253</v>
      </c>
      <c r="G184" s="62" t="s">
        <v>252</v>
      </c>
      <c r="J184" s="316"/>
      <c r="K184" s="316"/>
      <c r="L184" s="318">
        <f>'Inputs by customer type'!L149</f>
        <v>0</v>
      </c>
      <c r="M184" s="316"/>
      <c r="N184" s="318">
        <f>'Inputs by customer type'!N149</f>
        <v>3.3179863998287984</v>
      </c>
      <c r="O184" s="318">
        <f>'Inputs by customer type'!O149</f>
        <v>0</v>
      </c>
      <c r="P184" s="318">
        <f>'Inputs by customer type'!P149</f>
        <v>0</v>
      </c>
      <c r="Q184" s="316"/>
      <c r="R184" s="316"/>
      <c r="S184" s="316"/>
      <c r="T184" s="316"/>
      <c r="U184" s="316"/>
      <c r="V184" s="316"/>
      <c r="W184" s="316"/>
      <c r="X184" s="316"/>
      <c r="Y184" s="316"/>
      <c r="AQ184" s="3"/>
    </row>
    <row r="185" spans="5:43" x14ac:dyDescent="0.25">
      <c r="E185" s="27"/>
      <c r="F185" s="70" t="s">
        <v>254</v>
      </c>
      <c r="G185" s="70" t="s">
        <v>255</v>
      </c>
      <c r="H185" s="28"/>
      <c r="I185" s="28"/>
      <c r="J185" s="71"/>
      <c r="K185" s="71"/>
      <c r="L185" s="115">
        <f>'Inputs by customer type'!L150</f>
        <v>0</v>
      </c>
      <c r="M185" s="71"/>
      <c r="N185" s="115">
        <f>'Inputs by customer type'!N150</f>
        <v>470.30191571840942</v>
      </c>
      <c r="O185" s="115">
        <f>'Inputs by customer type'!O150</f>
        <v>18.124958612219395</v>
      </c>
      <c r="P185" s="115">
        <f>'Inputs by customer type'!P150</f>
        <v>84.013245992628853</v>
      </c>
      <c r="Q185" s="71"/>
      <c r="R185" s="71"/>
      <c r="S185" s="71"/>
      <c r="T185" s="71"/>
      <c r="U185" s="71"/>
      <c r="V185" s="71"/>
      <c r="W185" s="71"/>
      <c r="X185" s="71"/>
      <c r="Y185" s="71"/>
      <c r="AQ185" s="3"/>
    </row>
    <row r="186" spans="5:43" x14ac:dyDescent="0.25">
      <c r="AQ186" s="3"/>
    </row>
    <row r="187" spans="5:43" x14ac:dyDescent="0.25">
      <c r="E187" s="27" t="s">
        <v>955</v>
      </c>
      <c r="G187" s="12"/>
      <c r="I187" t="s">
        <v>155</v>
      </c>
      <c r="AQ187" s="3"/>
    </row>
    <row r="188" spans="5:43" x14ac:dyDescent="0.25">
      <c r="E188" s="27"/>
      <c r="F188" s="68" t="s">
        <v>248</v>
      </c>
      <c r="G188" s="68" t="s">
        <v>208</v>
      </c>
      <c r="H188" s="19"/>
      <c r="I188" s="19"/>
      <c r="J188" s="73"/>
      <c r="K188" s="73"/>
      <c r="L188" s="114">
        <f>'Inputs by customer type'!L153</f>
        <v>626.27086598714789</v>
      </c>
      <c r="M188" s="73"/>
      <c r="N188" s="114">
        <f>'Inputs by customer type'!N153</f>
        <v>1216.6337040549236</v>
      </c>
      <c r="O188" s="114">
        <f>'Inputs by customer type'!O153</f>
        <v>375.06905234416575</v>
      </c>
      <c r="P188" s="114">
        <f>'Inputs by customer type'!P153</f>
        <v>595.74260220887334</v>
      </c>
      <c r="Q188" s="73"/>
      <c r="R188" s="73"/>
      <c r="S188" s="73"/>
      <c r="T188" s="73"/>
      <c r="U188" s="73"/>
      <c r="V188" s="73"/>
      <c r="W188" s="73"/>
      <c r="X188" s="73"/>
      <c r="Y188" s="73"/>
      <c r="AQ188" s="3"/>
    </row>
    <row r="189" spans="5:43" x14ac:dyDescent="0.25">
      <c r="E189" s="27"/>
      <c r="F189" s="62" t="s">
        <v>249</v>
      </c>
      <c r="G189" s="62" t="s">
        <v>208</v>
      </c>
      <c r="J189" s="316"/>
      <c r="K189" s="316"/>
      <c r="L189" s="318">
        <f>'Inputs by customer type'!L154</f>
        <v>5004.0217891270022</v>
      </c>
      <c r="M189" s="316"/>
      <c r="N189" s="318">
        <f>'Inputs by customer type'!N154</f>
        <v>7861.9516670026378</v>
      </c>
      <c r="O189" s="318">
        <f>'Inputs by customer type'!O154</f>
        <v>2273.9467503421743</v>
      </c>
      <c r="P189" s="318">
        <f>'Inputs by customer type'!P154</f>
        <v>3868.8567349468817</v>
      </c>
      <c r="Q189" s="316"/>
      <c r="R189" s="316"/>
      <c r="S189" s="316"/>
      <c r="T189" s="316"/>
      <c r="U189" s="316"/>
      <c r="V189" s="316"/>
      <c r="W189" s="316"/>
      <c r="X189" s="316"/>
      <c r="Y189" s="316"/>
      <c r="AQ189" s="3"/>
    </row>
    <row r="190" spans="5:43" x14ac:dyDescent="0.25">
      <c r="E190" s="27"/>
      <c r="F190" s="62" t="s">
        <v>250</v>
      </c>
      <c r="G190" s="62" t="s">
        <v>208</v>
      </c>
      <c r="J190" s="316"/>
      <c r="K190" s="316"/>
      <c r="L190" s="318">
        <f>'Inputs by customer type'!L155</f>
        <v>3791.1352545266104</v>
      </c>
      <c r="M190" s="316"/>
      <c r="N190" s="318">
        <f>'Inputs by customer type'!N155</f>
        <v>7590.2511050423809</v>
      </c>
      <c r="O190" s="318">
        <f>'Inputs by customer type'!O155</f>
        <v>2734.3726841172361</v>
      </c>
      <c r="P190" s="318">
        <f>'Inputs by customer type'!P155</f>
        <v>4460.2311218496325</v>
      </c>
      <c r="Q190" s="316"/>
      <c r="R190" s="316"/>
      <c r="S190" s="316"/>
      <c r="T190" s="316"/>
      <c r="U190" s="316"/>
      <c r="V190" s="316"/>
      <c r="W190" s="316"/>
      <c r="X190" s="316"/>
      <c r="Y190" s="316"/>
      <c r="AQ190" s="3"/>
    </row>
    <row r="191" spans="5:43" x14ac:dyDescent="0.25">
      <c r="E191" s="27"/>
      <c r="F191" s="62" t="s">
        <v>213</v>
      </c>
      <c r="G191" s="62" t="s">
        <v>213</v>
      </c>
      <c r="J191" s="316"/>
      <c r="K191" s="316"/>
      <c r="L191" s="318">
        <f>'Inputs by customer type'!L156</f>
        <v>154.52855408852255</v>
      </c>
      <c r="M191" s="316"/>
      <c r="N191" s="318">
        <f>'Inputs by customer type'!N156</f>
        <v>25.990181136923411</v>
      </c>
      <c r="O191" s="318">
        <f>'Inputs by customer type'!O156</f>
        <v>3.7352243472178319</v>
      </c>
      <c r="P191" s="318">
        <f>'Inputs by customer type'!P156</f>
        <v>1.1581524752394343</v>
      </c>
      <c r="Q191" s="316"/>
      <c r="R191" s="316"/>
      <c r="S191" s="316"/>
      <c r="T191" s="316"/>
      <c r="U191" s="316"/>
      <c r="V191" s="316"/>
      <c r="W191" s="316"/>
      <c r="X191" s="316"/>
      <c r="Y191" s="316"/>
      <c r="AQ191" s="3"/>
    </row>
    <row r="192" spans="5:43" x14ac:dyDescent="0.25">
      <c r="E192" s="27"/>
      <c r="F192" s="62" t="s">
        <v>251</v>
      </c>
      <c r="G192" s="62" t="s">
        <v>252</v>
      </c>
      <c r="J192" s="316"/>
      <c r="K192" s="316"/>
      <c r="L192" s="318">
        <f>'Inputs by customer type'!L157</f>
        <v>0</v>
      </c>
      <c r="M192" s="316"/>
      <c r="N192" s="318">
        <f>'Inputs by customer type'!N157</f>
        <v>16430.485303664613</v>
      </c>
      <c r="O192" s="318">
        <f>'Inputs by customer type'!O157</f>
        <v>4202.3323422825024</v>
      </c>
      <c r="P192" s="318">
        <f>'Inputs by customer type'!P157</f>
        <v>6606.5369570757421</v>
      </c>
      <c r="Q192" s="316"/>
      <c r="R192" s="316"/>
      <c r="S192" s="316"/>
      <c r="T192" s="316"/>
      <c r="U192" s="316"/>
      <c r="V192" s="316"/>
      <c r="W192" s="316"/>
      <c r="X192" s="316"/>
      <c r="Y192" s="316"/>
      <c r="AQ192" s="3"/>
    </row>
    <row r="193" spans="4:43" x14ac:dyDescent="0.25">
      <c r="E193" s="27"/>
      <c r="F193" s="62" t="s">
        <v>253</v>
      </c>
      <c r="G193" s="62" t="s">
        <v>252</v>
      </c>
      <c r="J193" s="316"/>
      <c r="K193" s="316"/>
      <c r="L193" s="318">
        <f>'Inputs by customer type'!L158</f>
        <v>0</v>
      </c>
      <c r="M193" s="316"/>
      <c r="N193" s="318">
        <f>'Inputs by customer type'!N158</f>
        <v>0.66296637600027664</v>
      </c>
      <c r="O193" s="318">
        <f>'Inputs by customer type'!O158</f>
        <v>0</v>
      </c>
      <c r="P193" s="318">
        <f>'Inputs by customer type'!P158</f>
        <v>0</v>
      </c>
      <c r="Q193" s="316"/>
      <c r="R193" s="316"/>
      <c r="S193" s="316"/>
      <c r="T193" s="316"/>
      <c r="U193" s="316"/>
      <c r="V193" s="316"/>
      <c r="W193" s="316"/>
      <c r="X193" s="316"/>
      <c r="Y193" s="316"/>
      <c r="AQ193" s="3"/>
    </row>
    <row r="194" spans="4:43" x14ac:dyDescent="0.25">
      <c r="E194" s="27"/>
      <c r="F194" s="70" t="s">
        <v>254</v>
      </c>
      <c r="G194" s="70" t="s">
        <v>255</v>
      </c>
      <c r="H194" s="28"/>
      <c r="I194" s="28"/>
      <c r="J194" s="71"/>
      <c r="K194" s="71"/>
      <c r="L194" s="115">
        <f>'Inputs by customer type'!L159</f>
        <v>0</v>
      </c>
      <c r="M194" s="71"/>
      <c r="N194" s="115">
        <f>'Inputs by customer type'!N159</f>
        <v>598.91518115046983</v>
      </c>
      <c r="O194" s="115">
        <f>'Inputs by customer type'!O159</f>
        <v>73.565160939536113</v>
      </c>
      <c r="P194" s="115">
        <f>'Inputs by customer type'!P159</f>
        <v>173.60026063530671</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246</v>
      </c>
      <c r="G198" s="12"/>
      <c r="I198" t="s">
        <v>155</v>
      </c>
      <c r="AA198" t="s">
        <v>247</v>
      </c>
    </row>
    <row r="199" spans="4:43" x14ac:dyDescent="0.25">
      <c r="E199" s="27"/>
      <c r="F199" s="68" t="s">
        <v>248</v>
      </c>
      <c r="G199" s="68" t="s">
        <v>208</v>
      </c>
      <c r="H199" s="19"/>
      <c r="I199" s="19"/>
      <c r="J199" s="116">
        <f t="shared" ref="J199:Y199" si="2">SUM( J67, J76, J85, J94, J58 )</f>
        <v>420426.20138777059</v>
      </c>
      <c r="K199" s="116">
        <f t="shared" si="2"/>
        <v>35.655431680661394</v>
      </c>
      <c r="L199" s="116">
        <f t="shared" si="2"/>
        <v>114727.92043992442</v>
      </c>
      <c r="M199" s="116">
        <f t="shared" si="2"/>
        <v>26.359392987120788</v>
      </c>
      <c r="N199" s="116">
        <f t="shared" si="2"/>
        <v>87551.952154823986</v>
      </c>
      <c r="O199" s="116">
        <f t="shared" si="2"/>
        <v>41882.586370167381</v>
      </c>
      <c r="P199" s="116">
        <f t="shared" si="2"/>
        <v>139593.29492402574</v>
      </c>
      <c r="Q199" s="116">
        <f t="shared" si="2"/>
        <v>3026.8327703338973</v>
      </c>
      <c r="R199" s="116">
        <f t="shared" si="2"/>
        <v>449.17098617729391</v>
      </c>
      <c r="S199" s="116">
        <f t="shared" si="2"/>
        <v>0</v>
      </c>
      <c r="T199" s="116">
        <f t="shared" si="2"/>
        <v>3293.4038045794673</v>
      </c>
      <c r="U199" s="116">
        <f t="shared" si="2"/>
        <v>0</v>
      </c>
      <c r="V199" s="116">
        <f t="shared" si="2"/>
        <v>811.80541464978148</v>
      </c>
      <c r="W199" s="116">
        <f t="shared" si="2"/>
        <v>0</v>
      </c>
      <c r="X199" s="116">
        <f t="shared" si="2"/>
        <v>36268.325369716345</v>
      </c>
      <c r="Y199" s="116">
        <f t="shared" si="2"/>
        <v>0</v>
      </c>
    </row>
    <row r="200" spans="4:43" x14ac:dyDescent="0.25">
      <c r="E200" s="27"/>
      <c r="F200" s="62" t="s">
        <v>249</v>
      </c>
      <c r="G200" s="62" t="s">
        <v>208</v>
      </c>
      <c r="J200" s="315">
        <f t="shared" ref="J200:Y200" si="3">SUM( J68, J77, J86, J95, J59 )</f>
        <v>2200865.0471394388</v>
      </c>
      <c r="K200" s="315">
        <f t="shared" si="3"/>
        <v>3242.2928055299481</v>
      </c>
      <c r="L200" s="315">
        <f t="shared" si="3"/>
        <v>915540.16987732169</v>
      </c>
      <c r="M200" s="315">
        <f t="shared" si="3"/>
        <v>1539.4768248033429</v>
      </c>
      <c r="N200" s="315">
        <f t="shared" si="3"/>
        <v>631652.17548765789</v>
      </c>
      <c r="O200" s="315">
        <f t="shared" si="3"/>
        <v>307412.48454092268</v>
      </c>
      <c r="P200" s="315">
        <f t="shared" si="3"/>
        <v>969708.87984011136</v>
      </c>
      <c r="Q200" s="397">
        <f t="shared" si="3"/>
        <v>28127.672923672086</v>
      </c>
      <c r="R200" s="397">
        <f t="shared" si="3"/>
        <v>4233.9521820488117</v>
      </c>
      <c r="S200" s="397">
        <f t="shared" si="3"/>
        <v>0</v>
      </c>
      <c r="T200" s="315">
        <f t="shared" si="3"/>
        <v>31747.078256598921</v>
      </c>
      <c r="U200" s="315">
        <f t="shared" si="3"/>
        <v>0</v>
      </c>
      <c r="V200" s="315">
        <f t="shared" si="3"/>
        <v>7185.4690196373358</v>
      </c>
      <c r="W200" s="315">
        <f t="shared" si="3"/>
        <v>0</v>
      </c>
      <c r="X200" s="315">
        <f t="shared" si="3"/>
        <v>289073.53494591836</v>
      </c>
      <c r="Y200" s="315">
        <f t="shared" si="3"/>
        <v>0</v>
      </c>
    </row>
    <row r="201" spans="4:43" x14ac:dyDescent="0.25">
      <c r="E201" s="27"/>
      <c r="F201" s="62" t="s">
        <v>250</v>
      </c>
      <c r="G201" s="62" t="s">
        <v>208</v>
      </c>
      <c r="J201" s="315">
        <f t="shared" ref="J201:Y201" si="4">SUM( J69, J78, J87, J96, J60 )</f>
        <v>2467621.6811667914</v>
      </c>
      <c r="K201" s="315">
        <f t="shared" si="4"/>
        <v>25948.408931906615</v>
      </c>
      <c r="L201" s="315">
        <f t="shared" si="4"/>
        <v>780499.28795327723</v>
      </c>
      <c r="M201" s="315">
        <f t="shared" si="4"/>
        <v>10781.362867132962</v>
      </c>
      <c r="N201" s="315">
        <f t="shared" si="4"/>
        <v>562080.04286727018</v>
      </c>
      <c r="O201" s="315">
        <f t="shared" si="4"/>
        <v>303397.76445126283</v>
      </c>
      <c r="P201" s="315">
        <f t="shared" si="4"/>
        <v>1103505.7325126014</v>
      </c>
      <c r="Q201" s="397">
        <f t="shared" si="4"/>
        <v>69645.577244407395</v>
      </c>
      <c r="R201" s="397">
        <f t="shared" si="4"/>
        <v>2141.8426596998402</v>
      </c>
      <c r="S201" s="397">
        <f t="shared" si="4"/>
        <v>0</v>
      </c>
      <c r="T201" s="315">
        <f t="shared" si="4"/>
        <v>27458.669337650925</v>
      </c>
      <c r="U201" s="315">
        <f t="shared" si="4"/>
        <v>0</v>
      </c>
      <c r="V201" s="315">
        <f t="shared" si="4"/>
        <v>6962.9505694314412</v>
      </c>
      <c r="W201" s="315">
        <f t="shared" si="4"/>
        <v>0</v>
      </c>
      <c r="X201" s="315">
        <f t="shared" si="4"/>
        <v>234787.57468174878</v>
      </c>
      <c r="Y201" s="315">
        <f t="shared" si="4"/>
        <v>0</v>
      </c>
    </row>
    <row r="202" spans="4:43" x14ac:dyDescent="0.25">
      <c r="E202" s="27"/>
      <c r="F202" s="62" t="s">
        <v>213</v>
      </c>
      <c r="G202" s="62" t="s">
        <v>213</v>
      </c>
      <c r="J202" s="315">
        <f t="shared" ref="J202:Y202" si="5">SUM( J70, J79, J88, J97, J61 )</f>
        <v>1506295.0683282644</v>
      </c>
      <c r="K202" s="315">
        <f t="shared" si="5"/>
        <v>0</v>
      </c>
      <c r="L202" s="315">
        <f t="shared" si="5"/>
        <v>146154.28894595639</v>
      </c>
      <c r="M202" s="315">
        <f t="shared" si="5"/>
        <v>0</v>
      </c>
      <c r="N202" s="315">
        <f t="shared" si="5"/>
        <v>7907.6128237346747</v>
      </c>
      <c r="O202" s="315">
        <f t="shared" si="5"/>
        <v>1727.0854506297937</v>
      </c>
      <c r="P202" s="315">
        <f t="shared" si="5"/>
        <v>1119.3418499375234</v>
      </c>
      <c r="Q202" s="315">
        <f t="shared" si="5"/>
        <v>2539</v>
      </c>
      <c r="R202" s="315">
        <f t="shared" si="5"/>
        <v>0</v>
      </c>
      <c r="S202" s="315">
        <f t="shared" si="5"/>
        <v>0</v>
      </c>
      <c r="T202" s="315">
        <f t="shared" si="5"/>
        <v>0</v>
      </c>
      <c r="U202" s="315">
        <f t="shared" si="5"/>
        <v>0</v>
      </c>
      <c r="V202" s="315">
        <f t="shared" si="5"/>
        <v>0</v>
      </c>
      <c r="W202" s="315">
        <f t="shared" si="5"/>
        <v>0</v>
      </c>
      <c r="X202" s="315">
        <f t="shared" si="5"/>
        <v>272.95468099853321</v>
      </c>
      <c r="Y202" s="315">
        <f t="shared" si="5"/>
        <v>0</v>
      </c>
    </row>
    <row r="203" spans="4:43" x14ac:dyDescent="0.25">
      <c r="E203" s="27"/>
      <c r="F203" s="62" t="s">
        <v>251</v>
      </c>
      <c r="G203" s="62" t="s">
        <v>252</v>
      </c>
      <c r="J203" s="69"/>
      <c r="K203" s="69"/>
      <c r="L203" s="69"/>
      <c r="M203" s="69"/>
      <c r="N203" s="315">
        <f t="shared" ref="N203:P205" si="6">SUM( N71, N80, N89, N98, N62 )</f>
        <v>814377.8609352553</v>
      </c>
      <c r="O203" s="315">
        <f t="shared" si="6"/>
        <v>372369.98395236873</v>
      </c>
      <c r="P203" s="315">
        <f t="shared" si="6"/>
        <v>957801.27302116901</v>
      </c>
      <c r="Q203" s="69"/>
      <c r="R203" s="69"/>
      <c r="S203" s="69"/>
      <c r="T203" s="69"/>
      <c r="U203" s="69"/>
      <c r="V203" s="69"/>
      <c r="W203" s="69"/>
      <c r="X203" s="69"/>
      <c r="Y203" s="69"/>
    </row>
    <row r="204" spans="4:43" x14ac:dyDescent="0.25">
      <c r="E204" s="27"/>
      <c r="F204" s="62" t="s">
        <v>253</v>
      </c>
      <c r="G204" s="62" t="s">
        <v>252</v>
      </c>
      <c r="J204" s="69"/>
      <c r="K204" s="69"/>
      <c r="L204" s="69"/>
      <c r="M204" s="69"/>
      <c r="N204" s="315">
        <f t="shared" si="6"/>
        <v>20480.331641106044</v>
      </c>
      <c r="O204" s="315">
        <f t="shared" si="6"/>
        <v>5110.0410932696514</v>
      </c>
      <c r="P204" s="315">
        <f t="shared" si="6"/>
        <v>5216.5020264694094</v>
      </c>
      <c r="Q204" s="69"/>
      <c r="R204" s="69"/>
      <c r="S204" s="69"/>
      <c r="T204" s="69"/>
      <c r="U204" s="69"/>
      <c r="V204" s="69"/>
      <c r="W204" s="69"/>
      <c r="X204" s="69"/>
      <c r="Y204" s="69"/>
    </row>
    <row r="205" spans="4:43" x14ac:dyDescent="0.25">
      <c r="E205" s="27"/>
      <c r="F205" s="70" t="s">
        <v>254</v>
      </c>
      <c r="G205" s="70" t="s">
        <v>255</v>
      </c>
      <c r="H205" s="28"/>
      <c r="I205" s="28"/>
      <c r="J205" s="71"/>
      <c r="K205" s="71"/>
      <c r="L205" s="71"/>
      <c r="M205" s="71"/>
      <c r="N205" s="90">
        <f t="shared" si="6"/>
        <v>102399.85199999998</v>
      </c>
      <c r="O205" s="90">
        <f t="shared" si="6"/>
        <v>64000.595000000001</v>
      </c>
      <c r="P205" s="90">
        <f t="shared" si="6"/>
        <v>155623.29699999999</v>
      </c>
      <c r="Q205" s="71"/>
      <c r="R205" s="71"/>
      <c r="S205" s="71"/>
      <c r="T205" s="90">
        <f>SUM( T73, T82, T91, T100, T64 )</f>
        <v>5013.3740000000007</v>
      </c>
      <c r="U205" s="71"/>
      <c r="V205" s="90">
        <f>SUM( V73, V82, V91, V100, V64 )</f>
        <v>1539.6130000000001</v>
      </c>
      <c r="W205" s="71"/>
      <c r="X205" s="90">
        <f>SUM( X73, X82, X91, X100, X64 )</f>
        <v>7641.41</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256</v>
      </c>
      <c r="G207" s="70"/>
      <c r="H207" s="28"/>
      <c r="I207" t="s">
        <v>155</v>
      </c>
      <c r="J207" s="72"/>
      <c r="K207" s="72"/>
      <c r="L207" s="72"/>
      <c r="M207" s="72"/>
      <c r="N207" s="72"/>
      <c r="O207" s="72"/>
      <c r="P207" s="72"/>
      <c r="Q207" s="72"/>
      <c r="R207" s="72"/>
      <c r="S207" s="72"/>
      <c r="T207" s="72"/>
      <c r="U207" s="72"/>
      <c r="V207" s="72"/>
      <c r="W207" s="72"/>
      <c r="X207" s="72"/>
      <c r="Y207" s="72"/>
      <c r="AA207" t="s">
        <v>247</v>
      </c>
    </row>
    <row r="208" spans="4:43" x14ac:dyDescent="0.25">
      <c r="E208" s="27"/>
      <c r="F208" s="68" t="s">
        <v>248</v>
      </c>
      <c r="G208" s="62" t="s">
        <v>208</v>
      </c>
      <c r="I208" s="19"/>
      <c r="J208" s="116">
        <f t="shared" ref="J208:N211" si="7">SUM( J114, J123, J132, J141, J105 )</f>
        <v>3994.1255820240008</v>
      </c>
      <c r="K208" s="116">
        <f t="shared" si="7"/>
        <v>0</v>
      </c>
      <c r="L208" s="116">
        <f t="shared" si="7"/>
        <v>172.65024849600005</v>
      </c>
      <c r="M208" s="116">
        <f t="shared" si="7"/>
        <v>0</v>
      </c>
      <c r="N208" s="116">
        <f t="shared" si="7"/>
        <v>290.96042616000011</v>
      </c>
      <c r="O208" s="73"/>
      <c r="P208" s="73"/>
      <c r="Q208" s="116">
        <f t="shared" ref="Q208:R211" si="8">SUM( Q114, Q123, Q132, Q141, Q105 )</f>
        <v>0</v>
      </c>
      <c r="R208" s="116">
        <f t="shared" si="8"/>
        <v>2.4079999999999995</v>
      </c>
      <c r="S208" s="73"/>
      <c r="T208" s="116">
        <f>SUM( T114, T123, T132, T141, T105 )</f>
        <v>0</v>
      </c>
      <c r="U208" s="73"/>
      <c r="V208" s="73"/>
      <c r="W208" s="73"/>
      <c r="X208" s="73"/>
      <c r="Y208" s="73"/>
    </row>
    <row r="209" spans="5:27" x14ac:dyDescent="0.25">
      <c r="E209" s="27"/>
      <c r="F209" s="62" t="s">
        <v>249</v>
      </c>
      <c r="G209" s="62" t="s">
        <v>208</v>
      </c>
      <c r="J209" s="315">
        <f t="shared" si="7"/>
        <v>20173.386095784008</v>
      </c>
      <c r="K209" s="315">
        <f t="shared" si="7"/>
        <v>0</v>
      </c>
      <c r="L209" s="315">
        <f t="shared" si="7"/>
        <v>1546.7867531280006</v>
      </c>
      <c r="M209" s="315">
        <f t="shared" si="7"/>
        <v>0</v>
      </c>
      <c r="N209" s="315">
        <f t="shared" si="7"/>
        <v>2077.7884197120006</v>
      </c>
      <c r="O209" s="69"/>
      <c r="P209" s="69"/>
      <c r="Q209" s="397">
        <f t="shared" si="8"/>
        <v>0</v>
      </c>
      <c r="R209" s="397">
        <f t="shared" si="8"/>
        <v>163.50900000000001</v>
      </c>
      <c r="S209" s="69"/>
      <c r="T209" s="315">
        <f>SUM( T115, T124, T133, T142, T106 )</f>
        <v>0</v>
      </c>
      <c r="U209" s="69"/>
      <c r="V209" s="69"/>
      <c r="W209" s="69"/>
      <c r="X209" s="69"/>
      <c r="Y209" s="69"/>
    </row>
    <row r="210" spans="5:27" x14ac:dyDescent="0.25">
      <c r="E210" s="27"/>
      <c r="F210" s="62" t="s">
        <v>250</v>
      </c>
      <c r="G210" s="62" t="s">
        <v>208</v>
      </c>
      <c r="J210" s="315">
        <f t="shared" si="7"/>
        <v>20376.23761872001</v>
      </c>
      <c r="K210" s="315">
        <f t="shared" si="7"/>
        <v>0</v>
      </c>
      <c r="L210" s="315">
        <f t="shared" si="7"/>
        <v>1154.5672392000006</v>
      </c>
      <c r="M210" s="315">
        <f t="shared" si="7"/>
        <v>0</v>
      </c>
      <c r="N210" s="315">
        <f t="shared" si="7"/>
        <v>2033.8102676160011</v>
      </c>
      <c r="O210" s="69"/>
      <c r="P210" s="69"/>
      <c r="Q210" s="397">
        <f t="shared" si="8"/>
        <v>0</v>
      </c>
      <c r="R210" s="397">
        <f t="shared" si="8"/>
        <v>56.274000000000008</v>
      </c>
      <c r="S210" s="69"/>
      <c r="T210" s="315">
        <f>SUM( T116, T125, T134, T143, T107 )</f>
        <v>0</v>
      </c>
      <c r="U210" s="69"/>
      <c r="V210" s="69"/>
      <c r="W210" s="69"/>
      <c r="X210" s="69"/>
      <c r="Y210" s="69"/>
    </row>
    <row r="211" spans="5:27" x14ac:dyDescent="0.25">
      <c r="E211" s="27"/>
      <c r="F211" s="62" t="s">
        <v>213</v>
      </c>
      <c r="G211" s="62" t="s">
        <v>213</v>
      </c>
      <c r="J211" s="315">
        <f t="shared" si="7"/>
        <v>14872.013535035618</v>
      </c>
      <c r="K211" s="315">
        <f t="shared" si="7"/>
        <v>0</v>
      </c>
      <c r="L211" s="315">
        <f t="shared" si="7"/>
        <v>324.97716743013706</v>
      </c>
      <c r="M211" s="315">
        <f t="shared" si="7"/>
        <v>0</v>
      </c>
      <c r="N211" s="315">
        <f t="shared" si="7"/>
        <v>47.340299923287688</v>
      </c>
      <c r="O211" s="69"/>
      <c r="P211" s="69"/>
      <c r="Q211" s="315">
        <f t="shared" si="8"/>
        <v>0</v>
      </c>
      <c r="R211" s="315">
        <f t="shared" si="8"/>
        <v>0</v>
      </c>
      <c r="S211" s="69"/>
      <c r="T211" s="315">
        <f>SUM( T117, T126, T135, T144, T108 )</f>
        <v>0</v>
      </c>
      <c r="U211" s="69"/>
      <c r="V211" s="69"/>
      <c r="W211" s="69"/>
      <c r="X211" s="69"/>
      <c r="Y211" s="69"/>
    </row>
    <row r="212" spans="5:27" x14ac:dyDescent="0.25">
      <c r="E212" s="27"/>
      <c r="F212" s="62" t="s">
        <v>251</v>
      </c>
      <c r="G212" s="62" t="s">
        <v>252</v>
      </c>
      <c r="J212" s="69"/>
      <c r="K212" s="69"/>
      <c r="L212" s="69"/>
      <c r="M212" s="69"/>
      <c r="N212" s="315">
        <f>SUM( N118, N127, N136, N145, N109 )</f>
        <v>6352.6263709808245</v>
      </c>
      <c r="O212" s="69"/>
      <c r="P212" s="69"/>
      <c r="Q212" s="69"/>
      <c r="R212" s="69"/>
      <c r="S212" s="69"/>
      <c r="T212" s="69"/>
      <c r="U212" s="69"/>
      <c r="V212" s="69"/>
      <c r="W212" s="69"/>
      <c r="X212" s="69"/>
      <c r="Y212" s="69"/>
    </row>
    <row r="213" spans="5:27" x14ac:dyDescent="0.25">
      <c r="E213" s="27"/>
      <c r="F213" s="62" t="s">
        <v>253</v>
      </c>
      <c r="G213" s="62" t="s">
        <v>252</v>
      </c>
      <c r="J213" s="69"/>
      <c r="K213" s="69"/>
      <c r="L213" s="69"/>
      <c r="M213" s="69"/>
      <c r="N213" s="315">
        <f>SUM( N119, N128, N137, N146, N110 )</f>
        <v>47.933064065753435</v>
      </c>
      <c r="O213" s="69"/>
      <c r="P213" s="69"/>
      <c r="Q213" s="69"/>
      <c r="R213" s="69"/>
      <c r="S213" s="69"/>
      <c r="T213" s="69"/>
      <c r="U213" s="69"/>
      <c r="V213" s="69"/>
      <c r="W213" s="69"/>
      <c r="X213" s="69"/>
      <c r="Y213" s="69"/>
    </row>
    <row r="214" spans="5:27" x14ac:dyDescent="0.25">
      <c r="E214" s="27"/>
      <c r="F214" s="70" t="s">
        <v>254</v>
      </c>
      <c r="G214" s="70" t="s">
        <v>255</v>
      </c>
      <c r="H214" s="28"/>
      <c r="I214" s="28"/>
      <c r="J214" s="71"/>
      <c r="K214" s="71"/>
      <c r="L214" s="71"/>
      <c r="M214" s="71"/>
      <c r="N214" s="90">
        <f>SUM( N120, N129, N138, N147, N111 )</f>
        <v>690.29591859200013</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257</v>
      </c>
      <c r="G216" s="70"/>
      <c r="H216" s="28"/>
      <c r="I216" t="s">
        <v>155</v>
      </c>
      <c r="J216" s="72"/>
      <c r="K216" s="72"/>
      <c r="L216" s="72"/>
      <c r="M216" s="72"/>
      <c r="N216" s="72"/>
      <c r="O216" s="72"/>
      <c r="P216" s="72"/>
      <c r="Q216" s="72"/>
      <c r="R216" s="72"/>
      <c r="S216" s="72"/>
      <c r="T216" s="72"/>
      <c r="U216" s="72"/>
      <c r="V216" s="72"/>
      <c r="W216" s="72"/>
      <c r="X216" s="72"/>
      <c r="Y216" s="72"/>
      <c r="AA216" t="s">
        <v>247</v>
      </c>
    </row>
    <row r="217" spans="5:27" x14ac:dyDescent="0.25">
      <c r="F217" s="68" t="s">
        <v>248</v>
      </c>
      <c r="G217" s="62" t="s">
        <v>208</v>
      </c>
      <c r="I217" s="19"/>
      <c r="J217" s="116">
        <f t="shared" ref="J217:T217" si="9">SUM( J161, J170, J179, J188, J152 )</f>
        <v>12729.688281288001</v>
      </c>
      <c r="K217" s="116">
        <f t="shared" si="9"/>
        <v>0</v>
      </c>
      <c r="L217" s="116">
        <f t="shared" si="9"/>
        <v>1054.3556030400002</v>
      </c>
      <c r="M217" s="116">
        <f t="shared" si="9"/>
        <v>0</v>
      </c>
      <c r="N217" s="116">
        <f t="shared" si="9"/>
        <v>6090.0036539760022</v>
      </c>
      <c r="O217" s="116">
        <f t="shared" si="9"/>
        <v>591.35087988000021</v>
      </c>
      <c r="P217" s="116">
        <f t="shared" si="9"/>
        <v>1255.5685383120006</v>
      </c>
      <c r="Q217" s="116">
        <f t="shared" si="9"/>
        <v>0</v>
      </c>
      <c r="R217" s="116">
        <f t="shared" si="9"/>
        <v>6.234</v>
      </c>
      <c r="S217" s="116">
        <f t="shared" si="9"/>
        <v>0</v>
      </c>
      <c r="T217" s="116">
        <f t="shared" si="9"/>
        <v>7.8260000000000032</v>
      </c>
      <c r="U217" s="73"/>
      <c r="V217" s="116">
        <f>SUM( V161, V170, V179, V188, V152 )</f>
        <v>0</v>
      </c>
      <c r="W217" s="73"/>
      <c r="X217" s="116">
        <f>SUM( X161, X170, X179, X188, X152 )</f>
        <v>0</v>
      </c>
      <c r="Y217" s="73"/>
    </row>
    <row r="218" spans="5:27" x14ac:dyDescent="0.25">
      <c r="F218" s="62" t="s">
        <v>249</v>
      </c>
      <c r="G218" s="62" t="s">
        <v>208</v>
      </c>
      <c r="J218" s="315">
        <f t="shared" ref="J218:T218" si="10">SUM( J162, J171, J180, J189, J153 )</f>
        <v>64023.44241600002</v>
      </c>
      <c r="K218" s="315">
        <f t="shared" si="10"/>
        <v>0</v>
      </c>
      <c r="L218" s="315">
        <f t="shared" si="10"/>
        <v>8424.499202568004</v>
      </c>
      <c r="M218" s="315">
        <f t="shared" si="10"/>
        <v>0</v>
      </c>
      <c r="N218" s="315">
        <f t="shared" si="10"/>
        <v>39353.92733232001</v>
      </c>
      <c r="O218" s="315">
        <f t="shared" si="10"/>
        <v>3585.2075856720007</v>
      </c>
      <c r="P218" s="315">
        <f t="shared" si="10"/>
        <v>8153.8818570720014</v>
      </c>
      <c r="Q218" s="397">
        <f t="shared" si="10"/>
        <v>0</v>
      </c>
      <c r="R218" s="397">
        <f t="shared" si="10"/>
        <v>163.50900000000001</v>
      </c>
      <c r="S218" s="397">
        <f t="shared" si="10"/>
        <v>0</v>
      </c>
      <c r="T218" s="315">
        <f t="shared" si="10"/>
        <v>65.302000000000007</v>
      </c>
      <c r="U218" s="69"/>
      <c r="V218" s="315">
        <f>SUM( V162, V171, V180, V189, V153 )</f>
        <v>0</v>
      </c>
      <c r="W218" s="69"/>
      <c r="X218" s="315">
        <f>SUM( X162, X171, X180, X189, X153 )</f>
        <v>0</v>
      </c>
      <c r="Y218" s="69"/>
    </row>
    <row r="219" spans="5:27" x14ac:dyDescent="0.25">
      <c r="F219" s="62" t="s">
        <v>250</v>
      </c>
      <c r="G219" s="62" t="s">
        <v>208</v>
      </c>
      <c r="J219" s="315">
        <f t="shared" ref="J219:T219" si="11">SUM( J163, J172, J181, J190, J154 )</f>
        <v>64026.581807736024</v>
      </c>
      <c r="K219" s="315">
        <f t="shared" si="11"/>
        <v>0</v>
      </c>
      <c r="L219" s="315">
        <f t="shared" si="11"/>
        <v>6382.5493322160028</v>
      </c>
      <c r="M219" s="315">
        <f t="shared" si="11"/>
        <v>0</v>
      </c>
      <c r="N219" s="315">
        <f t="shared" si="11"/>
        <v>37993.898089656024</v>
      </c>
      <c r="O219" s="315">
        <f t="shared" si="11"/>
        <v>4311.1359963360019</v>
      </c>
      <c r="P219" s="315">
        <f t="shared" si="11"/>
        <v>9400.2440809680047</v>
      </c>
      <c r="Q219" s="397">
        <f t="shared" si="11"/>
        <v>0</v>
      </c>
      <c r="R219" s="397">
        <f t="shared" si="11"/>
        <v>56.274000000000008</v>
      </c>
      <c r="S219" s="397">
        <f t="shared" si="11"/>
        <v>0</v>
      </c>
      <c r="T219" s="315">
        <f t="shared" si="11"/>
        <v>69.393999999999991</v>
      </c>
      <c r="U219" s="69"/>
      <c r="V219" s="315">
        <f>SUM( V163, V172, V181, V190, V154 )</f>
        <v>0</v>
      </c>
      <c r="W219" s="69"/>
      <c r="X219" s="315">
        <f>SUM( X163, X172, X181, X190, X154 )</f>
        <v>0</v>
      </c>
      <c r="Y219" s="69"/>
    </row>
    <row r="220" spans="5:27" x14ac:dyDescent="0.25">
      <c r="F220" s="62" t="s">
        <v>213</v>
      </c>
      <c r="G220" s="62" t="s">
        <v>213</v>
      </c>
      <c r="J220" s="315">
        <f t="shared" ref="J220:T220" si="12">SUM( J164, J173, J182, J191, J155 )</f>
        <v>47384.722591912338</v>
      </c>
      <c r="K220" s="315">
        <f t="shared" si="12"/>
        <v>0</v>
      </c>
      <c r="L220" s="315">
        <f t="shared" si="12"/>
        <v>1222.0602620493153</v>
      </c>
      <c r="M220" s="315">
        <f t="shared" si="12"/>
        <v>0</v>
      </c>
      <c r="N220" s="315">
        <f t="shared" si="12"/>
        <v>373.74164094246584</v>
      </c>
      <c r="O220" s="315">
        <f t="shared" si="12"/>
        <v>10.773680745205482</v>
      </c>
      <c r="P220" s="315">
        <f t="shared" si="12"/>
        <v>9.9538186520547978</v>
      </c>
      <c r="Q220" s="315">
        <f t="shared" si="12"/>
        <v>0</v>
      </c>
      <c r="R220" s="315">
        <f t="shared" si="12"/>
        <v>0</v>
      </c>
      <c r="S220" s="315">
        <f t="shared" si="12"/>
        <v>0</v>
      </c>
      <c r="T220" s="315">
        <f t="shared" si="12"/>
        <v>0</v>
      </c>
      <c r="U220" s="69"/>
      <c r="V220" s="315">
        <f>SUM( V164, V173, V182, V191, V155 )</f>
        <v>0</v>
      </c>
      <c r="W220" s="69"/>
      <c r="X220" s="315">
        <f>SUM( X164, X173, X182, X191, X155 )</f>
        <v>0</v>
      </c>
      <c r="Y220" s="69"/>
    </row>
    <row r="221" spans="5:27" x14ac:dyDescent="0.25">
      <c r="F221" s="62" t="s">
        <v>251</v>
      </c>
      <c r="G221" s="62" t="s">
        <v>252</v>
      </c>
      <c r="J221" s="69"/>
      <c r="K221" s="69"/>
      <c r="L221" s="69"/>
      <c r="M221" s="69"/>
      <c r="N221" s="315">
        <f t="shared" ref="N221:P223" si="13">SUM( N165, N174, N183, N192, N156 )</f>
        <v>71212.559362805492</v>
      </c>
      <c r="O221" s="315">
        <f t="shared" si="13"/>
        <v>6592.3070877808259</v>
      </c>
      <c r="P221" s="315">
        <f t="shared" si="13"/>
        <v>15065.447101369873</v>
      </c>
      <c r="Q221" s="69"/>
      <c r="R221" s="69"/>
      <c r="S221" s="69"/>
      <c r="T221" s="69"/>
      <c r="U221" s="69"/>
      <c r="V221" s="69"/>
      <c r="W221" s="69"/>
      <c r="X221" s="69"/>
      <c r="Y221" s="69"/>
    </row>
    <row r="222" spans="5:27" x14ac:dyDescent="0.25">
      <c r="F222" s="62" t="s">
        <v>253</v>
      </c>
      <c r="G222" s="62" t="s">
        <v>252</v>
      </c>
      <c r="J222" s="69"/>
      <c r="K222" s="69"/>
      <c r="L222" s="69"/>
      <c r="M222" s="69"/>
      <c r="N222" s="315">
        <f t="shared" si="13"/>
        <v>124.69863013698628</v>
      </c>
      <c r="O222" s="315">
        <f t="shared" si="13"/>
        <v>0</v>
      </c>
      <c r="P222" s="315">
        <f t="shared" si="13"/>
        <v>0</v>
      </c>
      <c r="Q222" s="69"/>
      <c r="R222" s="69"/>
      <c r="S222" s="69"/>
      <c r="T222" s="69"/>
      <c r="U222" s="69"/>
      <c r="V222" s="69"/>
      <c r="W222" s="69"/>
      <c r="X222" s="69"/>
      <c r="Y222" s="69"/>
    </row>
    <row r="223" spans="5:27" x14ac:dyDescent="0.25">
      <c r="F223" s="70" t="s">
        <v>254</v>
      </c>
      <c r="G223" s="70" t="s">
        <v>255</v>
      </c>
      <c r="H223" s="28"/>
      <c r="I223" s="28"/>
      <c r="J223" s="71"/>
      <c r="K223" s="71"/>
      <c r="L223" s="71"/>
      <c r="M223" s="71"/>
      <c r="N223" s="90">
        <f t="shared" si="13"/>
        <v>2733.4160000000002</v>
      </c>
      <c r="O223" s="90">
        <f t="shared" si="13"/>
        <v>120.54599999999999</v>
      </c>
      <c r="P223" s="90">
        <f t="shared" si="13"/>
        <v>408.47499999999997</v>
      </c>
      <c r="Q223" s="71"/>
      <c r="R223" s="71"/>
      <c r="S223" s="71"/>
      <c r="T223" s="90">
        <f>SUM( T167, T176, T185, T194, T158 )</f>
        <v>11.432412652588173</v>
      </c>
      <c r="U223" s="71"/>
      <c r="V223" s="90">
        <f>SUM( V167, V176, V185, V194, V158 )</f>
        <v>0</v>
      </c>
      <c r="W223" s="71"/>
      <c r="X223" s="90">
        <f>SUM( X167, X176, X185, X194, X158 )</f>
        <v>0</v>
      </c>
      <c r="Y223" s="71"/>
    </row>
    <row r="224" spans="5:27" x14ac:dyDescent="0.25">
      <c r="G224" s="12"/>
    </row>
    <row r="225" spans="3:43" x14ac:dyDescent="0.25">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157</v>
      </c>
      <c r="I229" t="s">
        <v>155</v>
      </c>
      <c r="AA229" t="s">
        <v>310</v>
      </c>
      <c r="AQ229" s="3"/>
    </row>
    <row r="230" spans="3:43" x14ac:dyDescent="0.25">
      <c r="C230" s="24"/>
      <c r="E230" s="27"/>
      <c r="AQ230" s="3"/>
    </row>
    <row r="231" spans="3:43" x14ac:dyDescent="0.25">
      <c r="F231" s="23" t="s">
        <v>446</v>
      </c>
      <c r="G231" s="23" t="s">
        <v>208</v>
      </c>
      <c r="J231" s="88">
        <f t="shared" ref="J231:Y231" si="14">J$199</f>
        <v>420426.20138777059</v>
      </c>
      <c r="K231" s="88">
        <f t="shared" si="14"/>
        <v>35.655431680661394</v>
      </c>
      <c r="L231" s="88">
        <f t="shared" si="14"/>
        <v>114727.92043992442</v>
      </c>
      <c r="M231" s="88">
        <f t="shared" si="14"/>
        <v>26.359392987120788</v>
      </c>
      <c r="N231" s="88">
        <f t="shared" si="14"/>
        <v>87551.952154823986</v>
      </c>
      <c r="O231" s="88">
        <f t="shared" si="14"/>
        <v>41882.586370167381</v>
      </c>
      <c r="P231" s="88">
        <f t="shared" si="14"/>
        <v>139593.29492402574</v>
      </c>
      <c r="Q231" s="88">
        <f t="shared" si="14"/>
        <v>3026.8327703338973</v>
      </c>
      <c r="R231" s="88">
        <f t="shared" si="14"/>
        <v>449.17098617729391</v>
      </c>
      <c r="S231" s="88">
        <f t="shared" si="14"/>
        <v>0</v>
      </c>
      <c r="T231" s="88">
        <f t="shared" si="14"/>
        <v>3293.4038045794673</v>
      </c>
      <c r="U231" s="88">
        <f t="shared" si="14"/>
        <v>0</v>
      </c>
      <c r="V231" s="88">
        <f t="shared" si="14"/>
        <v>811.80541464978148</v>
      </c>
      <c r="W231" s="88">
        <f t="shared" si="14"/>
        <v>0</v>
      </c>
      <c r="X231" s="88">
        <f t="shared" si="14"/>
        <v>36268.325369716345</v>
      </c>
      <c r="Y231" s="88">
        <f t="shared" si="14"/>
        <v>0</v>
      </c>
      <c r="AQ231" s="3"/>
    </row>
    <row r="232" spans="3:43" x14ac:dyDescent="0.25">
      <c r="F232" s="23" t="s">
        <v>447</v>
      </c>
      <c r="G232" s="23" t="s">
        <v>208</v>
      </c>
      <c r="J232" s="88">
        <f t="shared" ref="J232:Y232" si="15">J$208</f>
        <v>3994.1255820240008</v>
      </c>
      <c r="K232" s="88">
        <f t="shared" si="15"/>
        <v>0</v>
      </c>
      <c r="L232" s="88">
        <f t="shared" si="15"/>
        <v>172.65024849600005</v>
      </c>
      <c r="M232" s="88">
        <f t="shared" si="15"/>
        <v>0</v>
      </c>
      <c r="N232" s="88">
        <f t="shared" si="15"/>
        <v>290.96042616000011</v>
      </c>
      <c r="O232" s="88">
        <f t="shared" si="15"/>
        <v>0</v>
      </c>
      <c r="P232" s="88">
        <f t="shared" si="15"/>
        <v>0</v>
      </c>
      <c r="Q232" s="88">
        <f t="shared" si="15"/>
        <v>0</v>
      </c>
      <c r="R232" s="88">
        <f t="shared" si="15"/>
        <v>2.4079999999999995</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208</v>
      </c>
      <c r="J233" s="88">
        <f t="shared" ref="J233:Y233" si="16">J$217</f>
        <v>12729.688281288001</v>
      </c>
      <c r="K233" s="88">
        <f t="shared" si="16"/>
        <v>0</v>
      </c>
      <c r="L233" s="88">
        <f t="shared" si="16"/>
        <v>1054.3556030400002</v>
      </c>
      <c r="M233" s="88">
        <f t="shared" si="16"/>
        <v>0</v>
      </c>
      <c r="N233" s="88">
        <f t="shared" si="16"/>
        <v>6090.0036539760022</v>
      </c>
      <c r="O233" s="88">
        <f t="shared" si="16"/>
        <v>591.35087988000021</v>
      </c>
      <c r="P233" s="88">
        <f t="shared" si="16"/>
        <v>1255.5685383120006</v>
      </c>
      <c r="Q233" s="88">
        <f t="shared" si="16"/>
        <v>0</v>
      </c>
      <c r="R233" s="88">
        <f t="shared" si="16"/>
        <v>6.234</v>
      </c>
      <c r="S233" s="88">
        <f t="shared" si="16"/>
        <v>0</v>
      </c>
      <c r="T233" s="88">
        <f t="shared" si="16"/>
        <v>7.8260000000000032</v>
      </c>
      <c r="U233" s="88">
        <f t="shared" si="16"/>
        <v>0</v>
      </c>
      <c r="V233" s="88">
        <f t="shared" si="16"/>
        <v>0</v>
      </c>
      <c r="W233" s="88">
        <f t="shared" si="16"/>
        <v>0</v>
      </c>
      <c r="X233" s="88">
        <f t="shared" si="16"/>
        <v>0</v>
      </c>
      <c r="Y233" s="88">
        <f t="shared" si="16"/>
        <v>0</v>
      </c>
      <c r="AQ233" s="3"/>
    </row>
    <row r="234" spans="3:43" x14ac:dyDescent="0.25">
      <c r="F234" s="23" t="s">
        <v>449</v>
      </c>
      <c r="G234" s="23" t="s">
        <v>168</v>
      </c>
      <c r="J234" s="317">
        <f>IF(J$39, J$45, J$34)</f>
        <v>0.39058025506328897</v>
      </c>
      <c r="K234" s="317">
        <f t="shared" ref="K234:Y234" si="17">IF(K$39, K$45, K$34)</f>
        <v>0.39058025506328897</v>
      </c>
      <c r="L234" s="317">
        <f t="shared" si="17"/>
        <v>0.39058025506328897</v>
      </c>
      <c r="M234" s="317">
        <f t="shared" si="17"/>
        <v>0.39058025506328897</v>
      </c>
      <c r="N234" s="317">
        <f t="shared" si="17"/>
        <v>0.39058025506328897</v>
      </c>
      <c r="O234" s="317">
        <f t="shared" si="17"/>
        <v>0</v>
      </c>
      <c r="P234" s="317">
        <f t="shared" si="17"/>
        <v>0</v>
      </c>
      <c r="Q234" s="317">
        <f t="shared" si="17"/>
        <v>0.39058025506328897</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25">
      <c r="F235" s="23" t="s">
        <v>450</v>
      </c>
      <c r="G235" s="23" t="s">
        <v>168</v>
      </c>
      <c r="J235" s="317">
        <f>IF(J$39, J$45, J$35)</f>
        <v>0.5844622071010992</v>
      </c>
      <c r="K235" s="317">
        <f t="shared" ref="K235:Y235" si="18">IF(K$39, K$45, K$35)</f>
        <v>0.5844622071010992</v>
      </c>
      <c r="L235" s="317">
        <f t="shared" si="18"/>
        <v>0.5844622071010992</v>
      </c>
      <c r="M235" s="317">
        <f t="shared" si="18"/>
        <v>0.5844622071010992</v>
      </c>
      <c r="N235" s="317">
        <f t="shared" si="18"/>
        <v>0.5844622071010992</v>
      </c>
      <c r="O235" s="317">
        <f t="shared" si="18"/>
        <v>0.30237542617520075</v>
      </c>
      <c r="P235" s="317">
        <f t="shared" si="18"/>
        <v>0.17250073175528055</v>
      </c>
      <c r="Q235" s="317">
        <f t="shared" si="18"/>
        <v>0.5844622071010992</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25">
      <c r="F236" s="23" t="s">
        <v>451</v>
      </c>
      <c r="G236" s="23" t="s">
        <v>208</v>
      </c>
      <c r="J236" s="88">
        <f t="shared" ref="J236:Y236" si="19">J232 * (1 - J234)</f>
        <v>2434.0989934422591</v>
      </c>
      <c r="K236" s="88">
        <f t="shared" si="19"/>
        <v>0</v>
      </c>
      <c r="L236" s="88">
        <f t="shared" si="19"/>
        <v>105.21647040169212</v>
      </c>
      <c r="M236" s="88">
        <f t="shared" si="19"/>
        <v>0</v>
      </c>
      <c r="N236" s="88">
        <f t="shared" si="19"/>
        <v>177.31702869710401</v>
      </c>
      <c r="O236" s="88">
        <f t="shared" si="19"/>
        <v>0</v>
      </c>
      <c r="P236" s="88">
        <f t="shared" si="19"/>
        <v>0</v>
      </c>
      <c r="Q236" s="88">
        <f t="shared" si="19"/>
        <v>0</v>
      </c>
      <c r="R236" s="88">
        <f t="shared" si="19"/>
        <v>2.4079999999999995</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208</v>
      </c>
      <c r="H237" s="28"/>
      <c r="I237" s="28"/>
      <c r="J237" s="90">
        <f t="shared" ref="J237:Y237" si="20">J233 * (1 - J235)</f>
        <v>5289.6665726974179</v>
      </c>
      <c r="K237" s="90">
        <f t="shared" si="20"/>
        <v>0</v>
      </c>
      <c r="L237" s="90">
        <f t="shared" si="20"/>
        <v>438.1246002178313</v>
      </c>
      <c r="M237" s="90">
        <f t="shared" si="20"/>
        <v>0</v>
      </c>
      <c r="N237" s="90">
        <f t="shared" si="20"/>
        <v>2530.6266771194291</v>
      </c>
      <c r="O237" s="90">
        <f t="shared" si="20"/>
        <v>412.54090555720518</v>
      </c>
      <c r="P237" s="90">
        <f t="shared" si="20"/>
        <v>1038.9820466842725</v>
      </c>
      <c r="Q237" s="90">
        <f t="shared" si="20"/>
        <v>0</v>
      </c>
      <c r="R237" s="90">
        <f t="shared" si="20"/>
        <v>6.234</v>
      </c>
      <c r="S237" s="90">
        <f t="shared" si="20"/>
        <v>0</v>
      </c>
      <c r="T237" s="90">
        <f t="shared" si="20"/>
        <v>7.8260000000000032</v>
      </c>
      <c r="U237" s="90">
        <f t="shared" si="20"/>
        <v>0</v>
      </c>
      <c r="V237" s="90">
        <f t="shared" si="20"/>
        <v>0</v>
      </c>
      <c r="W237" s="90">
        <f t="shared" si="20"/>
        <v>0</v>
      </c>
      <c r="X237" s="90">
        <f t="shared" si="20"/>
        <v>0</v>
      </c>
      <c r="Y237" s="90">
        <f t="shared" si="20"/>
        <v>0</v>
      </c>
      <c r="AQ237" s="3"/>
    </row>
    <row r="238" spans="3:43" x14ac:dyDescent="0.25">
      <c r="F238" s="23" t="s">
        <v>453</v>
      </c>
      <c r="G238" s="23" t="s">
        <v>208</v>
      </c>
      <c r="J238" s="111">
        <f t="shared" ref="J238:Y238" si="21">J231 + J236 + J237</f>
        <v>428149.96695391025</v>
      </c>
      <c r="K238" s="111">
        <f t="shared" si="21"/>
        <v>35.655431680661394</v>
      </c>
      <c r="L238" s="111">
        <f t="shared" si="21"/>
        <v>115271.26151054395</v>
      </c>
      <c r="M238" s="111">
        <f t="shared" si="21"/>
        <v>26.359392987120788</v>
      </c>
      <c r="N238" s="111">
        <f t="shared" si="21"/>
        <v>90259.895860640521</v>
      </c>
      <c r="O238" s="111">
        <f t="shared" si="21"/>
        <v>42295.127275724582</v>
      </c>
      <c r="P238" s="111">
        <f t="shared" si="21"/>
        <v>140632.27697071002</v>
      </c>
      <c r="Q238" s="111">
        <f t="shared" si="21"/>
        <v>3026.8327703338973</v>
      </c>
      <c r="R238" s="111">
        <f t="shared" si="21"/>
        <v>457.81298617729391</v>
      </c>
      <c r="S238" s="111">
        <f t="shared" si="21"/>
        <v>0</v>
      </c>
      <c r="T238" s="111">
        <f t="shared" si="21"/>
        <v>3301.2298045794673</v>
      </c>
      <c r="U238" s="111">
        <f t="shared" si="21"/>
        <v>0</v>
      </c>
      <c r="V238" s="111">
        <f t="shared" si="21"/>
        <v>811.80541464978148</v>
      </c>
      <c r="W238" s="111">
        <f t="shared" si="21"/>
        <v>0</v>
      </c>
      <c r="X238" s="111">
        <f t="shared" si="21"/>
        <v>36268.325369716345</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158</v>
      </c>
      <c r="I240" t="s">
        <v>155</v>
      </c>
      <c r="J240" s="79"/>
      <c r="K240" s="79"/>
      <c r="L240" s="79"/>
      <c r="M240" s="79"/>
      <c r="N240" s="79"/>
      <c r="O240" s="79"/>
      <c r="P240" s="79"/>
      <c r="Q240" s="79"/>
      <c r="R240" s="79"/>
      <c r="S240" s="79"/>
      <c r="T240" s="79"/>
      <c r="U240" s="79"/>
      <c r="V240" s="79"/>
      <c r="W240" s="79"/>
      <c r="X240" s="79"/>
      <c r="Y240" s="79"/>
      <c r="AA240" t="s">
        <v>310</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208</v>
      </c>
      <c r="J242" s="88">
        <f t="shared" ref="J242:Y242" si="22">J$200</f>
        <v>2200865.0471394388</v>
      </c>
      <c r="K242" s="88">
        <f t="shared" si="22"/>
        <v>3242.2928055299481</v>
      </c>
      <c r="L242" s="88">
        <f t="shared" si="22"/>
        <v>915540.16987732169</v>
      </c>
      <c r="M242" s="88">
        <f t="shared" si="22"/>
        <v>1539.4768248033429</v>
      </c>
      <c r="N242" s="88">
        <f t="shared" si="22"/>
        <v>631652.17548765789</v>
      </c>
      <c r="O242" s="88">
        <f t="shared" si="22"/>
        <v>307412.48454092268</v>
      </c>
      <c r="P242" s="88">
        <f t="shared" si="22"/>
        <v>969708.87984011136</v>
      </c>
      <c r="Q242" s="88">
        <f t="shared" si="22"/>
        <v>28127.672923672086</v>
      </c>
      <c r="R242" s="88">
        <f t="shared" si="22"/>
        <v>4233.9521820488117</v>
      </c>
      <c r="S242" s="88">
        <f t="shared" si="22"/>
        <v>0</v>
      </c>
      <c r="T242" s="88">
        <f t="shared" si="22"/>
        <v>31747.078256598921</v>
      </c>
      <c r="U242" s="88">
        <f t="shared" si="22"/>
        <v>0</v>
      </c>
      <c r="V242" s="88">
        <f t="shared" si="22"/>
        <v>7185.4690196373358</v>
      </c>
      <c r="W242" s="88">
        <f t="shared" si="22"/>
        <v>0</v>
      </c>
      <c r="X242" s="88">
        <f t="shared" si="22"/>
        <v>289073.53494591836</v>
      </c>
      <c r="Y242" s="88">
        <f t="shared" si="22"/>
        <v>0</v>
      </c>
      <c r="AQ242" s="3"/>
    </row>
    <row r="243" spans="5:43" x14ac:dyDescent="0.25">
      <c r="F243" s="23" t="s">
        <v>447</v>
      </c>
      <c r="G243" s="23" t="s">
        <v>208</v>
      </c>
      <c r="J243" s="88">
        <f t="shared" ref="J243:Y243" si="23">J$209</f>
        <v>20173.386095784008</v>
      </c>
      <c r="K243" s="88">
        <f t="shared" si="23"/>
        <v>0</v>
      </c>
      <c r="L243" s="88">
        <f t="shared" si="23"/>
        <v>1546.7867531280006</v>
      </c>
      <c r="M243" s="88">
        <f t="shared" si="23"/>
        <v>0</v>
      </c>
      <c r="N243" s="88">
        <f t="shared" si="23"/>
        <v>2077.7884197120006</v>
      </c>
      <c r="O243" s="88">
        <f t="shared" si="23"/>
        <v>0</v>
      </c>
      <c r="P243" s="88">
        <f t="shared" si="23"/>
        <v>0</v>
      </c>
      <c r="Q243" s="88">
        <f t="shared" si="23"/>
        <v>0</v>
      </c>
      <c r="R243" s="88">
        <f t="shared" si="23"/>
        <v>163.50900000000001</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208</v>
      </c>
      <c r="J244" s="88">
        <f t="shared" ref="J244:Y244" si="24">J$218</f>
        <v>64023.44241600002</v>
      </c>
      <c r="K244" s="88">
        <f t="shared" si="24"/>
        <v>0</v>
      </c>
      <c r="L244" s="88">
        <f t="shared" si="24"/>
        <v>8424.499202568004</v>
      </c>
      <c r="M244" s="88">
        <f t="shared" si="24"/>
        <v>0</v>
      </c>
      <c r="N244" s="88">
        <f t="shared" si="24"/>
        <v>39353.92733232001</v>
      </c>
      <c r="O244" s="88">
        <f t="shared" si="24"/>
        <v>3585.2075856720007</v>
      </c>
      <c r="P244" s="88">
        <f t="shared" si="24"/>
        <v>8153.8818570720014</v>
      </c>
      <c r="Q244" s="88">
        <f t="shared" si="24"/>
        <v>0</v>
      </c>
      <c r="R244" s="88">
        <f t="shared" si="24"/>
        <v>163.50900000000001</v>
      </c>
      <c r="S244" s="88">
        <f t="shared" si="24"/>
        <v>0</v>
      </c>
      <c r="T244" s="88">
        <f t="shared" si="24"/>
        <v>65.302000000000007</v>
      </c>
      <c r="U244" s="88">
        <f t="shared" si="24"/>
        <v>0</v>
      </c>
      <c r="V244" s="88">
        <f t="shared" si="24"/>
        <v>0</v>
      </c>
      <c r="W244" s="88">
        <f t="shared" si="24"/>
        <v>0</v>
      </c>
      <c r="X244" s="88">
        <f t="shared" si="24"/>
        <v>0</v>
      </c>
      <c r="Y244" s="88">
        <f t="shared" si="24"/>
        <v>0</v>
      </c>
      <c r="AQ244" s="3"/>
    </row>
    <row r="245" spans="5:43" x14ac:dyDescent="0.25">
      <c r="F245" s="23" t="s">
        <v>449</v>
      </c>
      <c r="G245" s="23" t="s">
        <v>168</v>
      </c>
      <c r="J245" s="363">
        <f t="shared" ref="J245:Y245" si="25">IF(J$39, J$45, J$34)</f>
        <v>0.39058025506328897</v>
      </c>
      <c r="K245" s="363">
        <f t="shared" si="25"/>
        <v>0.39058025506328897</v>
      </c>
      <c r="L245" s="363">
        <f t="shared" si="25"/>
        <v>0.39058025506328897</v>
      </c>
      <c r="M245" s="363">
        <f t="shared" si="25"/>
        <v>0.39058025506328897</v>
      </c>
      <c r="N245" s="363">
        <f t="shared" si="25"/>
        <v>0.39058025506328897</v>
      </c>
      <c r="O245" s="363">
        <f t="shared" si="25"/>
        <v>0</v>
      </c>
      <c r="P245" s="363">
        <f t="shared" si="25"/>
        <v>0</v>
      </c>
      <c r="Q245" s="363">
        <f t="shared" si="25"/>
        <v>0.39058025506328897</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25">
      <c r="F246" s="23" t="s">
        <v>450</v>
      </c>
      <c r="G246" s="23" t="s">
        <v>168</v>
      </c>
      <c r="J246" s="363">
        <f t="shared" ref="J246:Y246" si="26">IF(J$39, J$45, J$35)</f>
        <v>0.5844622071010992</v>
      </c>
      <c r="K246" s="363">
        <f t="shared" si="26"/>
        <v>0.5844622071010992</v>
      </c>
      <c r="L246" s="363">
        <f t="shared" si="26"/>
        <v>0.5844622071010992</v>
      </c>
      <c r="M246" s="363">
        <f t="shared" si="26"/>
        <v>0.5844622071010992</v>
      </c>
      <c r="N246" s="363">
        <f t="shared" si="26"/>
        <v>0.5844622071010992</v>
      </c>
      <c r="O246" s="363">
        <f t="shared" si="26"/>
        <v>0.30237542617520075</v>
      </c>
      <c r="P246" s="363">
        <f t="shared" si="26"/>
        <v>0.17250073175528055</v>
      </c>
      <c r="Q246" s="363">
        <f t="shared" si="26"/>
        <v>0.5844622071010992</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25">
      <c r="F247" s="23" t="s">
        <v>451</v>
      </c>
      <c r="G247" s="23" t="s">
        <v>208</v>
      </c>
      <c r="J247" s="88">
        <f t="shared" ref="J247:Y247" si="27">J243 * (1 - J245)</f>
        <v>12294.059809002483</v>
      </c>
      <c r="K247" s="88">
        <f t="shared" si="27"/>
        <v>0</v>
      </c>
      <c r="L247" s="88">
        <f t="shared" si="27"/>
        <v>942.64238856274949</v>
      </c>
      <c r="M247" s="88">
        <f t="shared" si="27"/>
        <v>0</v>
      </c>
      <c r="N247" s="88">
        <f t="shared" si="27"/>
        <v>1266.2452887733393</v>
      </c>
      <c r="O247" s="88">
        <f t="shared" si="27"/>
        <v>0</v>
      </c>
      <c r="P247" s="88">
        <f t="shared" si="27"/>
        <v>0</v>
      </c>
      <c r="Q247" s="88">
        <f t="shared" si="27"/>
        <v>0</v>
      </c>
      <c r="R247" s="88">
        <f t="shared" si="27"/>
        <v>163.50900000000001</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208</v>
      </c>
      <c r="H248" s="28"/>
      <c r="I248" s="28"/>
      <c r="J248" s="90">
        <f t="shared" ref="J248:Y248" si="28">J244 * (1 - J246)</f>
        <v>26604.159955334519</v>
      </c>
      <c r="K248" s="90">
        <f t="shared" si="28"/>
        <v>0</v>
      </c>
      <c r="L248" s="90">
        <f t="shared" si="28"/>
        <v>3500.6978049136583</v>
      </c>
      <c r="M248" s="90">
        <f t="shared" si="28"/>
        <v>0</v>
      </c>
      <c r="N248" s="90">
        <f t="shared" si="28"/>
        <v>16353.044105575984</v>
      </c>
      <c r="O248" s="90">
        <f t="shared" si="28"/>
        <v>2501.1289140278668</v>
      </c>
      <c r="P248" s="90">
        <f t="shared" si="28"/>
        <v>6747.3312700809747</v>
      </c>
      <c r="Q248" s="90">
        <f t="shared" si="28"/>
        <v>0</v>
      </c>
      <c r="R248" s="90">
        <f t="shared" si="28"/>
        <v>163.50900000000001</v>
      </c>
      <c r="S248" s="90">
        <f t="shared" si="28"/>
        <v>0</v>
      </c>
      <c r="T248" s="90">
        <f t="shared" si="28"/>
        <v>65.302000000000007</v>
      </c>
      <c r="U248" s="90">
        <f t="shared" si="28"/>
        <v>0</v>
      </c>
      <c r="V248" s="90">
        <f t="shared" si="28"/>
        <v>0</v>
      </c>
      <c r="W248" s="90">
        <f t="shared" si="28"/>
        <v>0</v>
      </c>
      <c r="X248" s="90">
        <f t="shared" si="28"/>
        <v>0</v>
      </c>
      <c r="Y248" s="90">
        <f t="shared" si="28"/>
        <v>0</v>
      </c>
      <c r="AQ248" s="3"/>
    </row>
    <row r="249" spans="5:43" x14ac:dyDescent="0.25">
      <c r="F249" s="23" t="s">
        <v>453</v>
      </c>
      <c r="G249" s="23" t="s">
        <v>208</v>
      </c>
      <c r="J249" s="111">
        <f t="shared" ref="J249:Y249" si="29">J242 + J247 + J248</f>
        <v>2239763.2669037757</v>
      </c>
      <c r="K249" s="111">
        <f t="shared" si="29"/>
        <v>3242.2928055299481</v>
      </c>
      <c r="L249" s="111">
        <f t="shared" si="29"/>
        <v>919983.5100707981</v>
      </c>
      <c r="M249" s="111">
        <f t="shared" si="29"/>
        <v>1539.4768248033429</v>
      </c>
      <c r="N249" s="111">
        <f t="shared" si="29"/>
        <v>649271.46488200722</v>
      </c>
      <c r="O249" s="111">
        <f t="shared" si="29"/>
        <v>309913.61345495057</v>
      </c>
      <c r="P249" s="111">
        <f t="shared" si="29"/>
        <v>976456.21111019235</v>
      </c>
      <c r="Q249" s="111">
        <f t="shared" si="29"/>
        <v>28127.672923672086</v>
      </c>
      <c r="R249" s="111">
        <f t="shared" si="29"/>
        <v>4560.9701820488117</v>
      </c>
      <c r="S249" s="111">
        <f t="shared" si="29"/>
        <v>0</v>
      </c>
      <c r="T249" s="111">
        <f t="shared" si="29"/>
        <v>31812.380256598921</v>
      </c>
      <c r="U249" s="111">
        <f t="shared" si="29"/>
        <v>0</v>
      </c>
      <c r="V249" s="111">
        <f t="shared" si="29"/>
        <v>7185.4690196373358</v>
      </c>
      <c r="W249" s="111">
        <f t="shared" si="29"/>
        <v>0</v>
      </c>
      <c r="X249" s="111">
        <f t="shared" si="29"/>
        <v>289073.53494591836</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159</v>
      </c>
      <c r="I251" t="s">
        <v>155</v>
      </c>
      <c r="J251" s="79"/>
      <c r="K251" s="79"/>
      <c r="L251" s="79"/>
      <c r="M251" s="79"/>
      <c r="N251" s="79"/>
      <c r="O251" s="79"/>
      <c r="P251" s="79"/>
      <c r="Q251" s="79"/>
      <c r="R251" s="79"/>
      <c r="S251" s="79"/>
      <c r="T251" s="79"/>
      <c r="U251" s="79"/>
      <c r="V251" s="79"/>
      <c r="W251" s="79"/>
      <c r="X251" s="79"/>
      <c r="Y251" s="79"/>
      <c r="AA251" t="s">
        <v>310</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208</v>
      </c>
      <c r="J253" s="88">
        <f t="shared" ref="J253:Y253" si="30">J$201</f>
        <v>2467621.6811667914</v>
      </c>
      <c r="K253" s="88">
        <f t="shared" si="30"/>
        <v>25948.408931906615</v>
      </c>
      <c r="L253" s="88">
        <f t="shared" si="30"/>
        <v>780499.28795327723</v>
      </c>
      <c r="M253" s="88">
        <f t="shared" si="30"/>
        <v>10781.362867132962</v>
      </c>
      <c r="N253" s="88">
        <f t="shared" si="30"/>
        <v>562080.04286727018</v>
      </c>
      <c r="O253" s="88">
        <f t="shared" si="30"/>
        <v>303397.76445126283</v>
      </c>
      <c r="P253" s="88">
        <f t="shared" si="30"/>
        <v>1103505.7325126014</v>
      </c>
      <c r="Q253" s="88">
        <f t="shared" si="30"/>
        <v>69645.577244407395</v>
      </c>
      <c r="R253" s="88">
        <f t="shared" si="30"/>
        <v>2141.8426596998402</v>
      </c>
      <c r="S253" s="88">
        <f t="shared" si="30"/>
        <v>0</v>
      </c>
      <c r="T253" s="88">
        <f t="shared" si="30"/>
        <v>27458.669337650925</v>
      </c>
      <c r="U253" s="88">
        <f t="shared" si="30"/>
        <v>0</v>
      </c>
      <c r="V253" s="88">
        <f t="shared" si="30"/>
        <v>6962.9505694314412</v>
      </c>
      <c r="W253" s="88">
        <f t="shared" si="30"/>
        <v>0</v>
      </c>
      <c r="X253" s="88">
        <f t="shared" si="30"/>
        <v>234787.57468174878</v>
      </c>
      <c r="Y253" s="88">
        <f t="shared" si="30"/>
        <v>0</v>
      </c>
      <c r="AQ253" s="3"/>
    </row>
    <row r="254" spans="5:43" x14ac:dyDescent="0.25">
      <c r="F254" s="23" t="s">
        <v>447</v>
      </c>
      <c r="G254" s="23" t="s">
        <v>208</v>
      </c>
      <c r="J254" s="88">
        <f t="shared" ref="J254:Y254" si="31">J$210</f>
        <v>20376.23761872001</v>
      </c>
      <c r="K254" s="88">
        <f t="shared" si="31"/>
        <v>0</v>
      </c>
      <c r="L254" s="88">
        <f t="shared" si="31"/>
        <v>1154.5672392000006</v>
      </c>
      <c r="M254" s="88">
        <f t="shared" si="31"/>
        <v>0</v>
      </c>
      <c r="N254" s="88">
        <f t="shared" si="31"/>
        <v>2033.8102676160011</v>
      </c>
      <c r="O254" s="88">
        <f t="shared" si="31"/>
        <v>0</v>
      </c>
      <c r="P254" s="88">
        <f t="shared" si="31"/>
        <v>0</v>
      </c>
      <c r="Q254" s="88">
        <f t="shared" si="31"/>
        <v>0</v>
      </c>
      <c r="R254" s="88">
        <f t="shared" si="31"/>
        <v>56.274000000000008</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208</v>
      </c>
      <c r="J255" s="88">
        <f t="shared" ref="J255:Y255" si="32">J$219</f>
        <v>64026.581807736024</v>
      </c>
      <c r="K255" s="88">
        <f t="shared" si="32"/>
        <v>0</v>
      </c>
      <c r="L255" s="88">
        <f t="shared" si="32"/>
        <v>6382.5493322160028</v>
      </c>
      <c r="M255" s="88">
        <f t="shared" si="32"/>
        <v>0</v>
      </c>
      <c r="N255" s="88">
        <f t="shared" si="32"/>
        <v>37993.898089656024</v>
      </c>
      <c r="O255" s="88">
        <f t="shared" si="32"/>
        <v>4311.1359963360019</v>
      </c>
      <c r="P255" s="88">
        <f t="shared" si="32"/>
        <v>9400.2440809680047</v>
      </c>
      <c r="Q255" s="88">
        <f t="shared" si="32"/>
        <v>0</v>
      </c>
      <c r="R255" s="88">
        <f t="shared" si="32"/>
        <v>56.274000000000008</v>
      </c>
      <c r="S255" s="88">
        <f t="shared" si="32"/>
        <v>0</v>
      </c>
      <c r="T255" s="88">
        <f t="shared" si="32"/>
        <v>69.393999999999991</v>
      </c>
      <c r="U255" s="88">
        <f t="shared" si="32"/>
        <v>0</v>
      </c>
      <c r="V255" s="88">
        <f t="shared" si="32"/>
        <v>0</v>
      </c>
      <c r="W255" s="88">
        <f t="shared" si="32"/>
        <v>0</v>
      </c>
      <c r="X255" s="88">
        <f t="shared" si="32"/>
        <v>0</v>
      </c>
      <c r="Y255" s="88">
        <f t="shared" si="32"/>
        <v>0</v>
      </c>
      <c r="AQ255" s="3"/>
    </row>
    <row r="256" spans="5:43" x14ac:dyDescent="0.25">
      <c r="F256" s="23" t="s">
        <v>449</v>
      </c>
      <c r="G256" s="23" t="s">
        <v>168</v>
      </c>
      <c r="J256" s="363">
        <f t="shared" ref="J256:Y256" si="33">IF(J$39, J$45, J$34)</f>
        <v>0.39058025506328897</v>
      </c>
      <c r="K256" s="363">
        <f t="shared" si="33"/>
        <v>0.39058025506328897</v>
      </c>
      <c r="L256" s="363">
        <f t="shared" si="33"/>
        <v>0.39058025506328897</v>
      </c>
      <c r="M256" s="363">
        <f t="shared" si="33"/>
        <v>0.39058025506328897</v>
      </c>
      <c r="N256" s="363">
        <f t="shared" si="33"/>
        <v>0.39058025506328897</v>
      </c>
      <c r="O256" s="363">
        <f t="shared" si="33"/>
        <v>0</v>
      </c>
      <c r="P256" s="363">
        <f t="shared" si="33"/>
        <v>0</v>
      </c>
      <c r="Q256" s="363">
        <f t="shared" si="33"/>
        <v>0.39058025506328897</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25">
      <c r="F257" s="23" t="s">
        <v>450</v>
      </c>
      <c r="G257" s="23" t="s">
        <v>168</v>
      </c>
      <c r="J257" s="363">
        <f t="shared" ref="J257:Y257" si="34">IF(J$39, J$45, J$35)</f>
        <v>0.5844622071010992</v>
      </c>
      <c r="K257" s="363">
        <f t="shared" si="34"/>
        <v>0.5844622071010992</v>
      </c>
      <c r="L257" s="363">
        <f t="shared" si="34"/>
        <v>0.5844622071010992</v>
      </c>
      <c r="M257" s="363">
        <f t="shared" si="34"/>
        <v>0.5844622071010992</v>
      </c>
      <c r="N257" s="363">
        <f t="shared" si="34"/>
        <v>0.5844622071010992</v>
      </c>
      <c r="O257" s="363">
        <f t="shared" si="34"/>
        <v>0.30237542617520075</v>
      </c>
      <c r="P257" s="363">
        <f t="shared" si="34"/>
        <v>0.17250073175528055</v>
      </c>
      <c r="Q257" s="363">
        <f t="shared" si="34"/>
        <v>0.5844622071010992</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25">
      <c r="F258" s="23" t="s">
        <v>451</v>
      </c>
      <c r="G258" s="23" t="s">
        <v>208</v>
      </c>
      <c r="J258" s="88">
        <f t="shared" ref="J258:Y258" si="35">J254 * (1 - J256)</f>
        <v>12417.681532370165</v>
      </c>
      <c r="K258" s="88">
        <f t="shared" si="35"/>
        <v>0</v>
      </c>
      <c r="L258" s="88">
        <f t="shared" si="35"/>
        <v>703.61607242554703</v>
      </c>
      <c r="M258" s="88">
        <f t="shared" si="35"/>
        <v>0</v>
      </c>
      <c r="N258" s="88">
        <f t="shared" si="35"/>
        <v>1239.4441345402074</v>
      </c>
      <c r="O258" s="88">
        <f t="shared" si="35"/>
        <v>0</v>
      </c>
      <c r="P258" s="88">
        <f t="shared" si="35"/>
        <v>0</v>
      </c>
      <c r="Q258" s="88">
        <f t="shared" si="35"/>
        <v>0</v>
      </c>
      <c r="R258" s="88">
        <f t="shared" si="35"/>
        <v>56.274000000000008</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208</v>
      </c>
      <c r="H259" s="28"/>
      <c r="I259" s="28"/>
      <c r="J259" s="90">
        <f t="shared" ref="J259:Y259" si="36">J255 * (1 - J257)</f>
        <v>26605.464491247541</v>
      </c>
      <c r="K259" s="90">
        <f t="shared" si="36"/>
        <v>0</v>
      </c>
      <c r="L259" s="90">
        <f t="shared" si="36"/>
        <v>2652.1904625773909</v>
      </c>
      <c r="M259" s="90">
        <f t="shared" si="36"/>
        <v>0</v>
      </c>
      <c r="N259" s="90">
        <f t="shared" si="36"/>
        <v>15787.900555801429</v>
      </c>
      <c r="O259" s="90">
        <f t="shared" si="36"/>
        <v>3007.5544121446546</v>
      </c>
      <c r="P259" s="90">
        <f t="shared" si="36"/>
        <v>7778.6950983227789</v>
      </c>
      <c r="Q259" s="90">
        <f t="shared" si="36"/>
        <v>0</v>
      </c>
      <c r="R259" s="90">
        <f t="shared" si="36"/>
        <v>56.274000000000008</v>
      </c>
      <c r="S259" s="90">
        <f t="shared" si="36"/>
        <v>0</v>
      </c>
      <c r="T259" s="90">
        <f t="shared" si="36"/>
        <v>69.393999999999991</v>
      </c>
      <c r="U259" s="90">
        <f t="shared" si="36"/>
        <v>0</v>
      </c>
      <c r="V259" s="90">
        <f t="shared" si="36"/>
        <v>0</v>
      </c>
      <c r="W259" s="90">
        <f t="shared" si="36"/>
        <v>0</v>
      </c>
      <c r="X259" s="90">
        <f t="shared" si="36"/>
        <v>0</v>
      </c>
      <c r="Y259" s="90">
        <f t="shared" si="36"/>
        <v>0</v>
      </c>
      <c r="AQ259" s="3"/>
    </row>
    <row r="260" spans="5:43" x14ac:dyDescent="0.25">
      <c r="F260" s="23" t="s">
        <v>453</v>
      </c>
      <c r="G260" s="23" t="s">
        <v>208</v>
      </c>
      <c r="J260" s="111">
        <f t="shared" ref="J260:Y260" si="37">J253 + J258 + J259</f>
        <v>2506644.8271904094</v>
      </c>
      <c r="K260" s="111">
        <f t="shared" si="37"/>
        <v>25948.408931906615</v>
      </c>
      <c r="L260" s="111">
        <f t="shared" si="37"/>
        <v>783855.09448828013</v>
      </c>
      <c r="M260" s="111">
        <f t="shared" si="37"/>
        <v>10781.362867132962</v>
      </c>
      <c r="N260" s="111">
        <f t="shared" si="37"/>
        <v>579107.3875576118</v>
      </c>
      <c r="O260" s="111">
        <f t="shared" si="37"/>
        <v>306405.31886340748</v>
      </c>
      <c r="P260" s="111">
        <f t="shared" si="37"/>
        <v>1111284.4276109242</v>
      </c>
      <c r="Q260" s="111">
        <f t="shared" si="37"/>
        <v>69645.577244407395</v>
      </c>
      <c r="R260" s="111">
        <f t="shared" si="37"/>
        <v>2254.3906596998399</v>
      </c>
      <c r="S260" s="111">
        <f t="shared" si="37"/>
        <v>0</v>
      </c>
      <c r="T260" s="111">
        <f t="shared" si="37"/>
        <v>27528.063337650925</v>
      </c>
      <c r="U260" s="111">
        <f t="shared" si="37"/>
        <v>0</v>
      </c>
      <c r="V260" s="111">
        <f t="shared" si="37"/>
        <v>6962.9505694314412</v>
      </c>
      <c r="W260" s="111">
        <f t="shared" si="37"/>
        <v>0</v>
      </c>
      <c r="X260" s="111">
        <f t="shared" si="37"/>
        <v>234787.57468174878</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155</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208</v>
      </c>
      <c r="J264" s="88">
        <f t="shared" ref="J264:Y264" si="38">J260 + J249 + J238</f>
        <v>5174558.0610480951</v>
      </c>
      <c r="K264" s="88">
        <f t="shared" si="38"/>
        <v>29226.357169117226</v>
      </c>
      <c r="L264" s="88">
        <f t="shared" si="38"/>
        <v>1819109.8660696223</v>
      </c>
      <c r="M264" s="88">
        <f t="shared" si="38"/>
        <v>12347.199084923426</v>
      </c>
      <c r="N264" s="88">
        <f t="shared" si="38"/>
        <v>1318638.7483002597</v>
      </c>
      <c r="O264" s="88">
        <f t="shared" si="38"/>
        <v>658614.05959408253</v>
      </c>
      <c r="P264" s="88">
        <f t="shared" si="38"/>
        <v>2228372.9156918265</v>
      </c>
      <c r="Q264" s="88">
        <f t="shared" si="38"/>
        <v>100800.08293841338</v>
      </c>
      <c r="R264" s="88">
        <f t="shared" si="38"/>
        <v>7273.1738279259462</v>
      </c>
      <c r="S264" s="88">
        <f t="shared" si="38"/>
        <v>0</v>
      </c>
      <c r="T264" s="88">
        <f t="shared" si="38"/>
        <v>62641.673398829313</v>
      </c>
      <c r="U264" s="88">
        <f t="shared" si="38"/>
        <v>0</v>
      </c>
      <c r="V264" s="88">
        <f t="shared" si="38"/>
        <v>14960.225003718559</v>
      </c>
      <c r="W264" s="88">
        <f t="shared" si="38"/>
        <v>0</v>
      </c>
      <c r="X264" s="88">
        <f t="shared" si="38"/>
        <v>560129.43499738351</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213</v>
      </c>
      <c r="I266" t="s">
        <v>155</v>
      </c>
      <c r="J266" s="79"/>
      <c r="K266" s="79"/>
      <c r="L266" s="79"/>
      <c r="M266" s="79"/>
      <c r="N266" s="79"/>
      <c r="O266" s="79"/>
      <c r="P266" s="79"/>
      <c r="Q266" s="79"/>
      <c r="R266" s="79"/>
      <c r="S266" s="79"/>
      <c r="T266" s="79"/>
      <c r="U266" s="79"/>
      <c r="V266" s="79"/>
      <c r="W266" s="79"/>
      <c r="X266" s="79"/>
      <c r="Y266" s="79"/>
      <c r="AA266" t="s">
        <v>310</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213</v>
      </c>
      <c r="J268" s="88">
        <f t="shared" ref="J268:Y268" si="39">J202</f>
        <v>1506295.0683282644</v>
      </c>
      <c r="K268" s="88">
        <f t="shared" si="39"/>
        <v>0</v>
      </c>
      <c r="L268" s="88">
        <f t="shared" si="39"/>
        <v>146154.28894595639</v>
      </c>
      <c r="M268" s="88">
        <f t="shared" si="39"/>
        <v>0</v>
      </c>
      <c r="N268" s="88">
        <f t="shared" si="39"/>
        <v>7907.6128237346747</v>
      </c>
      <c r="O268" s="88">
        <f t="shared" si="39"/>
        <v>1727.0854506297937</v>
      </c>
      <c r="P268" s="88">
        <f t="shared" si="39"/>
        <v>1119.3418499375234</v>
      </c>
      <c r="Q268" s="88">
        <f t="shared" si="39"/>
        <v>2539</v>
      </c>
      <c r="R268" s="88">
        <f t="shared" si="39"/>
        <v>0</v>
      </c>
      <c r="S268" s="88">
        <f t="shared" si="39"/>
        <v>0</v>
      </c>
      <c r="T268" s="88">
        <f t="shared" si="39"/>
        <v>0</v>
      </c>
      <c r="U268" s="88">
        <f t="shared" si="39"/>
        <v>0</v>
      </c>
      <c r="V268" s="88">
        <f t="shared" si="39"/>
        <v>0</v>
      </c>
      <c r="W268" s="88">
        <f t="shared" si="39"/>
        <v>0</v>
      </c>
      <c r="X268" s="88">
        <f t="shared" si="39"/>
        <v>272.95468099853321</v>
      </c>
      <c r="Y268" s="88">
        <f t="shared" si="39"/>
        <v>0</v>
      </c>
      <c r="AQ268" s="3"/>
    </row>
    <row r="269" spans="5:43" x14ac:dyDescent="0.25">
      <c r="F269" s="23" t="s">
        <v>447</v>
      </c>
      <c r="G269" s="23" t="s">
        <v>213</v>
      </c>
      <c r="J269" s="88">
        <f t="shared" ref="J269:Y269" si="40">J211</f>
        <v>14872.013535035618</v>
      </c>
      <c r="K269" s="88">
        <f t="shared" si="40"/>
        <v>0</v>
      </c>
      <c r="L269" s="88">
        <f t="shared" si="40"/>
        <v>324.97716743013706</v>
      </c>
      <c r="M269" s="88">
        <f t="shared" si="40"/>
        <v>0</v>
      </c>
      <c r="N269" s="88">
        <f t="shared" si="40"/>
        <v>47.340299923287688</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213</v>
      </c>
      <c r="J270" s="88">
        <f t="shared" ref="J270:Y270" si="41">J220</f>
        <v>47384.722591912338</v>
      </c>
      <c r="K270" s="88">
        <f t="shared" si="41"/>
        <v>0</v>
      </c>
      <c r="L270" s="88">
        <f t="shared" si="41"/>
        <v>1222.0602620493153</v>
      </c>
      <c r="M270" s="88">
        <f t="shared" si="41"/>
        <v>0</v>
      </c>
      <c r="N270" s="88">
        <f t="shared" si="41"/>
        <v>373.74164094246584</v>
      </c>
      <c r="O270" s="88">
        <f t="shared" si="41"/>
        <v>10.773680745205482</v>
      </c>
      <c r="P270" s="88">
        <f t="shared" si="41"/>
        <v>9.9538186520547978</v>
      </c>
      <c r="Q270" s="88">
        <f t="shared" si="41"/>
        <v>0</v>
      </c>
      <c r="R270" s="88">
        <f t="shared" si="41"/>
        <v>0</v>
      </c>
      <c r="S270" s="88">
        <f t="shared" si="41"/>
        <v>0</v>
      </c>
      <c r="T270" s="88">
        <f t="shared" si="41"/>
        <v>0</v>
      </c>
      <c r="U270" s="88">
        <f t="shared" si="41"/>
        <v>0</v>
      </c>
      <c r="V270" s="88">
        <f t="shared" si="41"/>
        <v>0</v>
      </c>
      <c r="W270" s="88">
        <f t="shared" si="41"/>
        <v>0</v>
      </c>
      <c r="X270" s="88">
        <f t="shared" si="41"/>
        <v>0</v>
      </c>
      <c r="Y270" s="88">
        <f t="shared" si="41"/>
        <v>0</v>
      </c>
      <c r="AQ270" s="3"/>
    </row>
    <row r="271" spans="5:43" x14ac:dyDescent="0.25">
      <c r="F271" s="23" t="s">
        <v>449</v>
      </c>
      <c r="G271" s="23" t="s">
        <v>168</v>
      </c>
      <c r="J271" s="363">
        <f t="shared" ref="J271:Y271" si="42">IF(J$40, J$46, J$34)</f>
        <v>0.39058025506328897</v>
      </c>
      <c r="K271" s="363">
        <f t="shared" si="42"/>
        <v>0.39058025506328897</v>
      </c>
      <c r="L271" s="363">
        <f t="shared" si="42"/>
        <v>0.39058025506328897</v>
      </c>
      <c r="M271" s="363">
        <f t="shared" si="42"/>
        <v>0.39058025506328897</v>
      </c>
      <c r="N271" s="363">
        <f t="shared" si="42"/>
        <v>0.39058025506328897</v>
      </c>
      <c r="O271" s="363">
        <f t="shared" si="42"/>
        <v>0</v>
      </c>
      <c r="P271" s="363">
        <f t="shared" si="42"/>
        <v>0</v>
      </c>
      <c r="Q271" s="363">
        <f t="shared" si="42"/>
        <v>0.39058025506328897</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25">
      <c r="F272" s="23" t="s">
        <v>450</v>
      </c>
      <c r="G272" s="23" t="s">
        <v>168</v>
      </c>
      <c r="J272" s="363">
        <f t="shared" ref="J272:Y272" si="43">IF(J$40, J$46, J$35)</f>
        <v>0.5844622071010992</v>
      </c>
      <c r="K272" s="363">
        <f t="shared" si="43"/>
        <v>0.5844622071010992</v>
      </c>
      <c r="L272" s="363">
        <f t="shared" si="43"/>
        <v>0.5844622071010992</v>
      </c>
      <c r="M272" s="363">
        <f t="shared" si="43"/>
        <v>0.5844622071010992</v>
      </c>
      <c r="N272" s="363">
        <f t="shared" si="43"/>
        <v>0.5844622071010992</v>
      </c>
      <c r="O272" s="363">
        <f t="shared" si="43"/>
        <v>0.30237542617520075</v>
      </c>
      <c r="P272" s="363">
        <f t="shared" si="43"/>
        <v>0.17250073175528055</v>
      </c>
      <c r="Q272" s="363">
        <f t="shared" si="43"/>
        <v>0.5844622071010992</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25">
      <c r="F273" s="23" t="s">
        <v>451</v>
      </c>
      <c r="G273" s="23" t="s">
        <v>213</v>
      </c>
      <c r="J273" s="88">
        <f t="shared" ref="J273:Y273" si="44">J269 * (1 - J271)</f>
        <v>9063.2986952167194</v>
      </c>
      <c r="K273" s="88">
        <f t="shared" si="44"/>
        <v>0</v>
      </c>
      <c r="L273" s="88">
        <f t="shared" si="44"/>
        <v>198.04750248552895</v>
      </c>
      <c r="M273" s="88">
        <f t="shared" si="44"/>
        <v>0</v>
      </c>
      <c r="N273" s="88">
        <f t="shared" si="44"/>
        <v>28.850113504477385</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213</v>
      </c>
      <c r="H274" s="28"/>
      <c r="I274" s="28"/>
      <c r="J274" s="90">
        <f t="shared" ref="J274:Y274" si="45">J270 * (1 - J272)</f>
        <v>19690.143042969936</v>
      </c>
      <c r="K274" s="90">
        <f t="shared" si="45"/>
        <v>0</v>
      </c>
      <c r="L274" s="90">
        <f t="shared" si="45"/>
        <v>507.8122240814248</v>
      </c>
      <c r="M274" s="90">
        <f t="shared" si="45"/>
        <v>0</v>
      </c>
      <c r="N274" s="90">
        <f t="shared" si="45"/>
        <v>155.30377659164571</v>
      </c>
      <c r="O274" s="90">
        <f t="shared" si="45"/>
        <v>7.5159844383984202</v>
      </c>
      <c r="P274" s="90">
        <f t="shared" si="45"/>
        <v>8.2367776508159842</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213</v>
      </c>
      <c r="J275" s="111">
        <f t="shared" ref="J275:Y275" si="46">J268 + J273 + J274</f>
        <v>1535048.510066451</v>
      </c>
      <c r="K275" s="111">
        <f t="shared" si="46"/>
        <v>0</v>
      </c>
      <c r="L275" s="111">
        <f t="shared" si="46"/>
        <v>146860.14867252336</v>
      </c>
      <c r="M275" s="111">
        <f t="shared" si="46"/>
        <v>0</v>
      </c>
      <c r="N275" s="111">
        <f t="shared" si="46"/>
        <v>8091.7667138307979</v>
      </c>
      <c r="O275" s="111">
        <f t="shared" si="46"/>
        <v>1734.6014350681921</v>
      </c>
      <c r="P275" s="111">
        <f t="shared" si="46"/>
        <v>1127.5786275883395</v>
      </c>
      <c r="Q275" s="111">
        <f t="shared" si="46"/>
        <v>2539</v>
      </c>
      <c r="R275" s="111">
        <f t="shared" si="46"/>
        <v>0</v>
      </c>
      <c r="S275" s="111">
        <f t="shared" si="46"/>
        <v>0</v>
      </c>
      <c r="T275" s="111">
        <f t="shared" si="46"/>
        <v>0</v>
      </c>
      <c r="U275" s="111">
        <f t="shared" si="46"/>
        <v>0</v>
      </c>
      <c r="V275" s="111">
        <f t="shared" si="46"/>
        <v>0</v>
      </c>
      <c r="W275" s="111">
        <f t="shared" si="46"/>
        <v>0</v>
      </c>
      <c r="X275" s="111">
        <f t="shared" si="46"/>
        <v>272.95468099853321</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251</v>
      </c>
      <c r="I277" t="s">
        <v>155</v>
      </c>
      <c r="J277" s="79"/>
      <c r="K277" s="79"/>
      <c r="L277" s="79"/>
      <c r="M277" s="79"/>
      <c r="N277" s="79"/>
      <c r="O277" s="79"/>
      <c r="P277" s="79"/>
      <c r="Q277" s="79"/>
      <c r="R277" s="79"/>
      <c r="S277" s="79"/>
      <c r="T277" s="79"/>
      <c r="U277" s="79"/>
      <c r="V277" s="79"/>
      <c r="W277" s="79"/>
      <c r="X277" s="79"/>
      <c r="Y277" s="79"/>
      <c r="AA277" t="s">
        <v>310</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252</v>
      </c>
      <c r="J279" s="88">
        <f t="shared" ref="J279:Y279" si="47">J203</f>
        <v>0</v>
      </c>
      <c r="K279" s="88">
        <f t="shared" si="47"/>
        <v>0</v>
      </c>
      <c r="L279" s="88">
        <f t="shared" si="47"/>
        <v>0</v>
      </c>
      <c r="M279" s="88">
        <f t="shared" si="47"/>
        <v>0</v>
      </c>
      <c r="N279" s="88">
        <f t="shared" si="47"/>
        <v>814377.8609352553</v>
      </c>
      <c r="O279" s="88">
        <f t="shared" si="47"/>
        <v>372369.98395236873</v>
      </c>
      <c r="P279" s="88">
        <f t="shared" si="47"/>
        <v>957801.27302116901</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252</v>
      </c>
      <c r="J280" s="88">
        <f t="shared" ref="J280:Y280" si="48">J212</f>
        <v>0</v>
      </c>
      <c r="K280" s="88">
        <f t="shared" si="48"/>
        <v>0</v>
      </c>
      <c r="L280" s="88">
        <f t="shared" si="48"/>
        <v>0</v>
      </c>
      <c r="M280" s="88">
        <f t="shared" si="48"/>
        <v>0</v>
      </c>
      <c r="N280" s="88">
        <f t="shared" si="48"/>
        <v>6352.6263709808245</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252</v>
      </c>
      <c r="J281" s="88">
        <f t="shared" ref="J281:Y281" si="49">J221</f>
        <v>0</v>
      </c>
      <c r="K281" s="88">
        <f t="shared" si="49"/>
        <v>0</v>
      </c>
      <c r="L281" s="88">
        <f t="shared" si="49"/>
        <v>0</v>
      </c>
      <c r="M281" s="88">
        <f t="shared" si="49"/>
        <v>0</v>
      </c>
      <c r="N281" s="88">
        <f t="shared" si="49"/>
        <v>71212.559362805492</v>
      </c>
      <c r="O281" s="88">
        <f t="shared" si="49"/>
        <v>6592.3070877808259</v>
      </c>
      <c r="P281" s="88">
        <f t="shared" si="49"/>
        <v>15065.447101369873</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168</v>
      </c>
      <c r="J282" s="363">
        <f t="shared" ref="J282:Y282" si="50">IF(J$41, J$47, J$34)</f>
        <v>0.39058025506328897</v>
      </c>
      <c r="K282" s="363">
        <f t="shared" si="50"/>
        <v>0.39058025506328897</v>
      </c>
      <c r="L282" s="363">
        <f t="shared" si="50"/>
        <v>0.39058025506328897</v>
      </c>
      <c r="M282" s="363">
        <f t="shared" si="50"/>
        <v>0.39058025506328897</v>
      </c>
      <c r="N282" s="363">
        <f t="shared" si="50"/>
        <v>0.39058025506328897</v>
      </c>
      <c r="O282" s="363">
        <f t="shared" si="50"/>
        <v>0</v>
      </c>
      <c r="P282" s="363">
        <f t="shared" si="50"/>
        <v>0</v>
      </c>
      <c r="Q282" s="363">
        <f t="shared" si="50"/>
        <v>0.39058025506328897</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25">
      <c r="F283" s="23" t="s">
        <v>450</v>
      </c>
      <c r="G283" s="23" t="s">
        <v>168</v>
      </c>
      <c r="J283" s="363">
        <f t="shared" ref="J283:Y283" si="51">IF(J$41, J$47, J$35)</f>
        <v>0.5844622071010992</v>
      </c>
      <c r="K283" s="363">
        <f t="shared" si="51"/>
        <v>0.5844622071010992</v>
      </c>
      <c r="L283" s="363">
        <f t="shared" si="51"/>
        <v>0.5844622071010992</v>
      </c>
      <c r="M283" s="363">
        <f t="shared" si="51"/>
        <v>0.5844622071010992</v>
      </c>
      <c r="N283" s="363">
        <f t="shared" si="51"/>
        <v>0.5844622071010992</v>
      </c>
      <c r="O283" s="363">
        <f t="shared" si="51"/>
        <v>0.30237542617520075</v>
      </c>
      <c r="P283" s="363">
        <f t="shared" si="51"/>
        <v>0.17250073175528055</v>
      </c>
      <c r="Q283" s="363">
        <f t="shared" si="51"/>
        <v>0.5844622071010992</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25">
      <c r="F284" s="23" t="s">
        <v>451</v>
      </c>
      <c r="G284" s="23" t="s">
        <v>252</v>
      </c>
      <c r="J284" s="88">
        <f t="shared" ref="J284:Y284" si="52">J280 * (1 - J282)</f>
        <v>0</v>
      </c>
      <c r="K284" s="88">
        <f t="shared" si="52"/>
        <v>0</v>
      </c>
      <c r="L284" s="88">
        <f t="shared" si="52"/>
        <v>0</v>
      </c>
      <c r="M284" s="88">
        <f t="shared" si="52"/>
        <v>0</v>
      </c>
      <c r="N284" s="88">
        <f t="shared" si="52"/>
        <v>3871.415942681358</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252</v>
      </c>
      <c r="H285" s="28"/>
      <c r="I285" s="28"/>
      <c r="J285" s="90">
        <f t="shared" ref="J285:Y285" si="53">J281 * (1 - J283)</f>
        <v>0</v>
      </c>
      <c r="K285" s="90">
        <f t="shared" si="53"/>
        <v>0</v>
      </c>
      <c r="L285" s="90">
        <f t="shared" si="53"/>
        <v>0</v>
      </c>
      <c r="M285" s="90">
        <f t="shared" si="53"/>
        <v>0</v>
      </c>
      <c r="N285" s="90">
        <f t="shared" si="53"/>
        <v>29591.509744302148</v>
      </c>
      <c r="O285" s="90">
        <f t="shared" si="53"/>
        <v>4598.9554226353021</v>
      </c>
      <c r="P285" s="90">
        <f t="shared" si="53"/>
        <v>12466.646452163099</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252</v>
      </c>
      <c r="J286" s="111">
        <f t="shared" ref="J286:Y286" si="54">J279 + J284 + J285</f>
        <v>0</v>
      </c>
      <c r="K286" s="111">
        <f t="shared" si="54"/>
        <v>0</v>
      </c>
      <c r="L286" s="111">
        <f t="shared" si="54"/>
        <v>0</v>
      </c>
      <c r="M286" s="111">
        <f t="shared" si="54"/>
        <v>0</v>
      </c>
      <c r="N286" s="111">
        <f t="shared" si="54"/>
        <v>847840.78662223881</v>
      </c>
      <c r="O286" s="111">
        <f t="shared" si="54"/>
        <v>376968.93937500403</v>
      </c>
      <c r="P286" s="111">
        <f t="shared" si="54"/>
        <v>970267.91947333212</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253</v>
      </c>
      <c r="I288" t="s">
        <v>155</v>
      </c>
      <c r="J288" s="79"/>
      <c r="K288" s="79"/>
      <c r="L288" s="79"/>
      <c r="M288" s="79"/>
      <c r="N288" s="79"/>
      <c r="O288" s="79"/>
      <c r="P288" s="79"/>
      <c r="Q288" s="79"/>
      <c r="R288" s="79"/>
      <c r="S288" s="79"/>
      <c r="T288" s="79"/>
      <c r="U288" s="79"/>
      <c r="V288" s="79"/>
      <c r="W288" s="79"/>
      <c r="X288" s="79"/>
      <c r="Y288" s="79"/>
      <c r="AA288" t="s">
        <v>310</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252</v>
      </c>
      <c r="J290" s="88">
        <f t="shared" ref="J290:Y290" si="55">J204</f>
        <v>0</v>
      </c>
      <c r="K290" s="88">
        <f t="shared" si="55"/>
        <v>0</v>
      </c>
      <c r="L290" s="88">
        <f t="shared" si="55"/>
        <v>0</v>
      </c>
      <c r="M290" s="88">
        <f t="shared" si="55"/>
        <v>0</v>
      </c>
      <c r="N290" s="88">
        <f t="shared" si="55"/>
        <v>20480.331641106044</v>
      </c>
      <c r="O290" s="88">
        <f t="shared" si="55"/>
        <v>5110.0410932696514</v>
      </c>
      <c r="P290" s="88">
        <f t="shared" si="55"/>
        <v>5216.5020264694094</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252</v>
      </c>
      <c r="J291" s="88">
        <f t="shared" ref="J291:Y291" si="56">J213</f>
        <v>0</v>
      </c>
      <c r="K291" s="88">
        <f t="shared" si="56"/>
        <v>0</v>
      </c>
      <c r="L291" s="88">
        <f t="shared" si="56"/>
        <v>0</v>
      </c>
      <c r="M291" s="88">
        <f t="shared" si="56"/>
        <v>0</v>
      </c>
      <c r="N291" s="88">
        <f t="shared" si="56"/>
        <v>47.933064065753435</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252</v>
      </c>
      <c r="J292" s="88">
        <f t="shared" ref="J292:Y292" si="57">J222</f>
        <v>0</v>
      </c>
      <c r="K292" s="88">
        <f t="shared" si="57"/>
        <v>0</v>
      </c>
      <c r="L292" s="88">
        <f t="shared" si="57"/>
        <v>0</v>
      </c>
      <c r="M292" s="88">
        <f t="shared" si="57"/>
        <v>0</v>
      </c>
      <c r="N292" s="88">
        <f t="shared" si="57"/>
        <v>124.69863013698628</v>
      </c>
      <c r="O292" s="88">
        <f t="shared" si="57"/>
        <v>0</v>
      </c>
      <c r="P292" s="88">
        <f t="shared" si="57"/>
        <v>0</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168</v>
      </c>
      <c r="J293" s="363">
        <f t="shared" ref="J293:Y293" si="58">IF(J$42, J$48, J$34)</f>
        <v>0.39058025506328897</v>
      </c>
      <c r="K293" s="363">
        <f t="shared" si="58"/>
        <v>0.39058025506328897</v>
      </c>
      <c r="L293" s="363">
        <f t="shared" si="58"/>
        <v>0.39058025506328897</v>
      </c>
      <c r="M293" s="363">
        <f t="shared" si="58"/>
        <v>0.39058025506328897</v>
      </c>
      <c r="N293" s="363">
        <f t="shared" si="58"/>
        <v>0.39058025506328897</v>
      </c>
      <c r="O293" s="363">
        <f t="shared" si="58"/>
        <v>0</v>
      </c>
      <c r="P293" s="363">
        <f t="shared" si="58"/>
        <v>0</v>
      </c>
      <c r="Q293" s="363">
        <f t="shared" si="58"/>
        <v>0.39058025506328897</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25">
      <c r="F294" s="23" t="s">
        <v>450</v>
      </c>
      <c r="G294" s="23" t="s">
        <v>168</v>
      </c>
      <c r="J294" s="363">
        <f t="shared" ref="J294:Y294" si="59">IF(J$42, J$48, J$35)</f>
        <v>0.5844622071010992</v>
      </c>
      <c r="K294" s="363">
        <f t="shared" si="59"/>
        <v>0.5844622071010992</v>
      </c>
      <c r="L294" s="363">
        <f t="shared" si="59"/>
        <v>0.5844622071010992</v>
      </c>
      <c r="M294" s="363">
        <f t="shared" si="59"/>
        <v>0.5844622071010992</v>
      </c>
      <c r="N294" s="363">
        <f t="shared" si="59"/>
        <v>0.5844622071010992</v>
      </c>
      <c r="O294" s="363">
        <f t="shared" si="59"/>
        <v>0.30237542617520075</v>
      </c>
      <c r="P294" s="363">
        <f t="shared" si="59"/>
        <v>0.17250073175528055</v>
      </c>
      <c r="Q294" s="363">
        <f t="shared" si="59"/>
        <v>0.5844622071010992</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25">
      <c r="F295" s="23" t="s">
        <v>451</v>
      </c>
      <c r="G295" s="23" t="s">
        <v>252</v>
      </c>
      <c r="J295" s="88">
        <f t="shared" ref="J295:Y295" si="60">J291 * (1 - J293)</f>
        <v>0</v>
      </c>
      <c r="K295" s="88">
        <f t="shared" si="60"/>
        <v>0</v>
      </c>
      <c r="L295" s="88">
        <f t="shared" si="60"/>
        <v>0</v>
      </c>
      <c r="M295" s="88">
        <f t="shared" si="60"/>
        <v>0</v>
      </c>
      <c r="N295" s="88">
        <f t="shared" si="60"/>
        <v>29.211355676986486</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252</v>
      </c>
      <c r="H296" s="28"/>
      <c r="I296" s="28"/>
      <c r="J296" s="90">
        <f t="shared" ref="J296:Y296" si="61">J292 * (1 - J294)</f>
        <v>0</v>
      </c>
      <c r="K296" s="90">
        <f t="shared" si="61"/>
        <v>0</v>
      </c>
      <c r="L296" s="90">
        <f t="shared" si="61"/>
        <v>0</v>
      </c>
      <c r="M296" s="90">
        <f t="shared" si="61"/>
        <v>0</v>
      </c>
      <c r="N296" s="90">
        <f t="shared" si="61"/>
        <v>51.816993544639637</v>
      </c>
      <c r="O296" s="90">
        <f t="shared" si="61"/>
        <v>0</v>
      </c>
      <c r="P296" s="90">
        <f t="shared" si="61"/>
        <v>0</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252</v>
      </c>
      <c r="J297" s="111">
        <f t="shared" ref="J297:Y297" si="62">J290 + J295 + J296</f>
        <v>0</v>
      </c>
      <c r="K297" s="111">
        <f t="shared" si="62"/>
        <v>0</v>
      </c>
      <c r="L297" s="111">
        <f t="shared" si="62"/>
        <v>0</v>
      </c>
      <c r="M297" s="111">
        <f t="shared" si="62"/>
        <v>0</v>
      </c>
      <c r="N297" s="111">
        <f t="shared" si="62"/>
        <v>20561.35999032767</v>
      </c>
      <c r="O297" s="111">
        <f t="shared" si="62"/>
        <v>5110.0410932696514</v>
      </c>
      <c r="P297" s="111">
        <f t="shared" si="62"/>
        <v>5216.5020264694094</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254</v>
      </c>
      <c r="I299" t="s">
        <v>155</v>
      </c>
      <c r="J299" s="79"/>
      <c r="K299" s="79"/>
      <c r="L299" s="79"/>
      <c r="M299" s="79"/>
      <c r="N299" s="79"/>
      <c r="O299" s="79"/>
      <c r="P299" s="79"/>
      <c r="Q299" s="79"/>
      <c r="R299" s="79"/>
      <c r="S299" s="79"/>
      <c r="T299" s="79"/>
      <c r="U299" s="79"/>
      <c r="V299" s="79"/>
      <c r="W299" s="79"/>
      <c r="X299" s="79"/>
      <c r="Y299" s="79"/>
      <c r="AA299" t="s">
        <v>310</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255</v>
      </c>
      <c r="J301" s="88">
        <f t="shared" ref="J301:Y301" si="63">J205</f>
        <v>0</v>
      </c>
      <c r="K301" s="88">
        <f t="shared" si="63"/>
        <v>0</v>
      </c>
      <c r="L301" s="88">
        <f t="shared" si="63"/>
        <v>0</v>
      </c>
      <c r="M301" s="88">
        <f t="shared" si="63"/>
        <v>0</v>
      </c>
      <c r="N301" s="88">
        <f t="shared" si="63"/>
        <v>102399.85199999998</v>
      </c>
      <c r="O301" s="88">
        <f t="shared" si="63"/>
        <v>64000.595000000001</v>
      </c>
      <c r="P301" s="88">
        <f t="shared" si="63"/>
        <v>155623.29699999999</v>
      </c>
      <c r="Q301" s="88">
        <f t="shared" si="63"/>
        <v>0</v>
      </c>
      <c r="R301" s="88">
        <f t="shared" si="63"/>
        <v>0</v>
      </c>
      <c r="S301" s="88">
        <f t="shared" si="63"/>
        <v>0</v>
      </c>
      <c r="T301" s="88">
        <f t="shared" si="63"/>
        <v>5013.3740000000007</v>
      </c>
      <c r="U301" s="88">
        <f t="shared" si="63"/>
        <v>0</v>
      </c>
      <c r="V301" s="88">
        <f t="shared" si="63"/>
        <v>1539.6130000000001</v>
      </c>
      <c r="W301" s="88">
        <f t="shared" si="63"/>
        <v>0</v>
      </c>
      <c r="X301" s="88">
        <f t="shared" si="63"/>
        <v>7641.41</v>
      </c>
      <c r="Y301" s="88">
        <f t="shared" si="63"/>
        <v>0</v>
      </c>
      <c r="AQ301" s="3"/>
    </row>
    <row r="302" spans="5:43" x14ac:dyDescent="0.25">
      <c r="F302" s="23" t="s">
        <v>447</v>
      </c>
      <c r="G302" s="23" t="s">
        <v>255</v>
      </c>
      <c r="J302" s="88">
        <f t="shared" ref="J302:Y302" si="64">J214</f>
        <v>0</v>
      </c>
      <c r="K302" s="88">
        <f t="shared" si="64"/>
        <v>0</v>
      </c>
      <c r="L302" s="88">
        <f t="shared" si="64"/>
        <v>0</v>
      </c>
      <c r="M302" s="88">
        <f t="shared" si="64"/>
        <v>0</v>
      </c>
      <c r="N302" s="88">
        <f t="shared" si="64"/>
        <v>690.29591859200013</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255</v>
      </c>
      <c r="J303" s="88">
        <f t="shared" ref="J303:Y303" si="65">J223</f>
        <v>0</v>
      </c>
      <c r="K303" s="88">
        <f t="shared" si="65"/>
        <v>0</v>
      </c>
      <c r="L303" s="88">
        <f t="shared" si="65"/>
        <v>0</v>
      </c>
      <c r="M303" s="88">
        <f t="shared" si="65"/>
        <v>0</v>
      </c>
      <c r="N303" s="88">
        <f t="shared" si="65"/>
        <v>2733.4160000000002</v>
      </c>
      <c r="O303" s="88">
        <f t="shared" si="65"/>
        <v>120.54599999999999</v>
      </c>
      <c r="P303" s="88">
        <f t="shared" si="65"/>
        <v>408.47499999999997</v>
      </c>
      <c r="Q303" s="88">
        <f t="shared" si="65"/>
        <v>0</v>
      </c>
      <c r="R303" s="88">
        <f t="shared" si="65"/>
        <v>0</v>
      </c>
      <c r="S303" s="88">
        <f t="shared" si="65"/>
        <v>0</v>
      </c>
      <c r="T303" s="88">
        <f t="shared" si="65"/>
        <v>11.432412652588173</v>
      </c>
      <c r="U303" s="88">
        <f t="shared" si="65"/>
        <v>0</v>
      </c>
      <c r="V303" s="88">
        <f t="shared" si="65"/>
        <v>0</v>
      </c>
      <c r="W303" s="88">
        <f t="shared" si="65"/>
        <v>0</v>
      </c>
      <c r="X303" s="88">
        <f t="shared" si="65"/>
        <v>0</v>
      </c>
      <c r="Y303" s="88">
        <f t="shared" si="65"/>
        <v>0</v>
      </c>
      <c r="AQ303" s="3"/>
    </row>
    <row r="304" spans="5:43" x14ac:dyDescent="0.25">
      <c r="F304" s="23" t="s">
        <v>449</v>
      </c>
      <c r="G304" s="23" t="s">
        <v>168</v>
      </c>
      <c r="J304" s="363">
        <f t="shared" ref="J304:Y304" si="66">IF(J$43, J$49, J$34)</f>
        <v>0.39058025506328897</v>
      </c>
      <c r="K304" s="363">
        <f t="shared" si="66"/>
        <v>0.39058025506328897</v>
      </c>
      <c r="L304" s="363">
        <f t="shared" si="66"/>
        <v>0.39058025506328897</v>
      </c>
      <c r="M304" s="363">
        <f t="shared" si="66"/>
        <v>0.39058025506328897</v>
      </c>
      <c r="N304" s="363">
        <f t="shared" si="66"/>
        <v>0.39058025506328897</v>
      </c>
      <c r="O304" s="363">
        <f t="shared" si="66"/>
        <v>0</v>
      </c>
      <c r="P304" s="363">
        <f t="shared" si="66"/>
        <v>0</v>
      </c>
      <c r="Q304" s="363">
        <f t="shared" si="66"/>
        <v>0.39058025506328897</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25">
      <c r="F305" s="23" t="s">
        <v>450</v>
      </c>
      <c r="G305" s="23" t="s">
        <v>168</v>
      </c>
      <c r="J305" s="363">
        <f t="shared" ref="J305:Y305" si="67">IF(J$43, J$49, J$35)</f>
        <v>0.5844622071010992</v>
      </c>
      <c r="K305" s="363">
        <f t="shared" si="67"/>
        <v>0.5844622071010992</v>
      </c>
      <c r="L305" s="363">
        <f t="shared" si="67"/>
        <v>0.5844622071010992</v>
      </c>
      <c r="M305" s="363">
        <f t="shared" si="67"/>
        <v>0.5844622071010992</v>
      </c>
      <c r="N305" s="363">
        <f t="shared" si="67"/>
        <v>0.5844622071010992</v>
      </c>
      <c r="O305" s="363">
        <f t="shared" si="67"/>
        <v>0.30237542617520075</v>
      </c>
      <c r="P305" s="363">
        <f t="shared" si="67"/>
        <v>0.17250073175528055</v>
      </c>
      <c r="Q305" s="363">
        <f t="shared" si="67"/>
        <v>0.5844622071010992</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25">
      <c r="F306" s="23" t="s">
        <v>451</v>
      </c>
      <c r="G306" s="23" t="s">
        <v>255</v>
      </c>
      <c r="J306" s="88">
        <f t="shared" ref="J306:Y306" si="68">J302 * (1 - J304)</f>
        <v>0</v>
      </c>
      <c r="K306" s="88">
        <f t="shared" si="68"/>
        <v>0</v>
      </c>
      <c r="L306" s="88">
        <f t="shared" si="68"/>
        <v>0</v>
      </c>
      <c r="M306" s="88">
        <f t="shared" si="68"/>
        <v>0</v>
      </c>
      <c r="N306" s="88">
        <f t="shared" si="68"/>
        <v>420.67996263918934</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255</v>
      </c>
      <c r="H307" s="28"/>
      <c r="I307" s="28"/>
      <c r="J307" s="90">
        <f t="shared" ref="J307:Y307" si="69">J303 * (1 - J305)</f>
        <v>0</v>
      </c>
      <c r="K307" s="90">
        <f t="shared" si="69"/>
        <v>0</v>
      </c>
      <c r="L307" s="90">
        <f t="shared" si="69"/>
        <v>0</v>
      </c>
      <c r="M307" s="90">
        <f t="shared" si="69"/>
        <v>0</v>
      </c>
      <c r="N307" s="90">
        <f t="shared" si="69"/>
        <v>1135.8376517145418</v>
      </c>
      <c r="O307" s="90">
        <f t="shared" si="69"/>
        <v>84.095851876284243</v>
      </c>
      <c r="P307" s="90">
        <f t="shared" si="69"/>
        <v>338.01276359626172</v>
      </c>
      <c r="Q307" s="90">
        <f t="shared" si="69"/>
        <v>0</v>
      </c>
      <c r="R307" s="90">
        <f t="shared" si="69"/>
        <v>0</v>
      </c>
      <c r="S307" s="90">
        <f t="shared" si="69"/>
        <v>0</v>
      </c>
      <c r="T307" s="90">
        <f t="shared" si="69"/>
        <v>11.432412652588173</v>
      </c>
      <c r="U307" s="90">
        <f t="shared" si="69"/>
        <v>0</v>
      </c>
      <c r="V307" s="90">
        <f t="shared" si="69"/>
        <v>0</v>
      </c>
      <c r="W307" s="90">
        <f t="shared" si="69"/>
        <v>0</v>
      </c>
      <c r="X307" s="90">
        <f t="shared" si="69"/>
        <v>0</v>
      </c>
      <c r="Y307" s="90">
        <f t="shared" si="69"/>
        <v>0</v>
      </c>
      <c r="AQ307" s="3"/>
    </row>
    <row r="308" spans="2:43" x14ac:dyDescent="0.25">
      <c r="F308" s="23" t="s">
        <v>453</v>
      </c>
      <c r="G308" s="23" t="s">
        <v>255</v>
      </c>
      <c r="J308" s="111">
        <f t="shared" ref="J308:Y308" si="70">J301 + J306 + J307</f>
        <v>0</v>
      </c>
      <c r="K308" s="111">
        <f t="shared" si="70"/>
        <v>0</v>
      </c>
      <c r="L308" s="111">
        <f t="shared" si="70"/>
        <v>0</v>
      </c>
      <c r="M308" s="111">
        <f t="shared" si="70"/>
        <v>0</v>
      </c>
      <c r="N308" s="111">
        <f t="shared" si="70"/>
        <v>103956.36961435371</v>
      </c>
      <c r="O308" s="111">
        <f t="shared" si="70"/>
        <v>64084.690851876287</v>
      </c>
      <c r="P308" s="111">
        <f t="shared" si="70"/>
        <v>155961.30976359625</v>
      </c>
      <c r="Q308" s="111">
        <f t="shared" si="70"/>
        <v>0</v>
      </c>
      <c r="R308" s="111">
        <f t="shared" si="70"/>
        <v>0</v>
      </c>
      <c r="S308" s="111">
        <f t="shared" si="70"/>
        <v>0</v>
      </c>
      <c r="T308" s="111">
        <f t="shared" si="70"/>
        <v>5024.8064126525887</v>
      </c>
      <c r="U308" s="111">
        <f t="shared" si="70"/>
        <v>0</v>
      </c>
      <c r="V308" s="111">
        <f t="shared" si="70"/>
        <v>1539.6130000000001</v>
      </c>
      <c r="W308" s="111">
        <f t="shared" si="70"/>
        <v>0</v>
      </c>
      <c r="X308" s="111">
        <f t="shared" si="70"/>
        <v>7641.41</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248</v>
      </c>
      <c r="G315" s="19" t="s">
        <v>168</v>
      </c>
      <c r="H315" s="19"/>
      <c r="I315" s="19"/>
      <c r="J315" s="144">
        <f>IF(J$39, J$45, J$34)</f>
        <v>0.39058025506328897</v>
      </c>
      <c r="K315" s="144">
        <f t="shared" ref="K315:Y315" si="71">IF(K$39, K$45, K$34)</f>
        <v>0.39058025506328897</v>
      </c>
      <c r="L315" s="144">
        <f t="shared" si="71"/>
        <v>0.39058025506328897</v>
      </c>
      <c r="M315" s="144">
        <f t="shared" si="71"/>
        <v>0.39058025506328897</v>
      </c>
      <c r="N315" s="144">
        <f t="shared" si="71"/>
        <v>0.39058025506328897</v>
      </c>
      <c r="O315" s="144">
        <f t="shared" si="71"/>
        <v>0</v>
      </c>
      <c r="P315" s="144">
        <f t="shared" si="71"/>
        <v>0</v>
      </c>
      <c r="Q315" s="144">
        <f t="shared" si="71"/>
        <v>0.39058025506328897</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249</v>
      </c>
      <c r="G316" t="s">
        <v>168</v>
      </c>
      <c r="J316" s="317">
        <f t="shared" ref="J316:Y317" si="72">IF(J$39, J$45, J$34)</f>
        <v>0.39058025506328897</v>
      </c>
      <c r="K316" s="317">
        <f t="shared" si="72"/>
        <v>0.39058025506328897</v>
      </c>
      <c r="L316" s="317">
        <f t="shared" si="72"/>
        <v>0.39058025506328897</v>
      </c>
      <c r="M316" s="317">
        <f t="shared" si="72"/>
        <v>0.39058025506328897</v>
      </c>
      <c r="N316" s="317">
        <f t="shared" si="72"/>
        <v>0.39058025506328897</v>
      </c>
      <c r="O316" s="317">
        <f t="shared" si="72"/>
        <v>0</v>
      </c>
      <c r="P316" s="317">
        <f t="shared" si="72"/>
        <v>0</v>
      </c>
      <c r="Q316" s="317">
        <f t="shared" si="72"/>
        <v>0.39058025506328897</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25">
      <c r="C317" s="27"/>
      <c r="F317" s="70" t="s">
        <v>250</v>
      </c>
      <c r="G317" s="28" t="s">
        <v>168</v>
      </c>
      <c r="H317" s="28"/>
      <c r="I317" s="28"/>
      <c r="J317" s="145">
        <f t="shared" si="72"/>
        <v>0.39058025506328897</v>
      </c>
      <c r="K317" s="145">
        <f t="shared" si="72"/>
        <v>0.39058025506328897</v>
      </c>
      <c r="L317" s="145">
        <f t="shared" si="72"/>
        <v>0.39058025506328897</v>
      </c>
      <c r="M317" s="145">
        <f t="shared" si="72"/>
        <v>0.39058025506328897</v>
      </c>
      <c r="N317" s="145">
        <f t="shared" si="72"/>
        <v>0.39058025506328897</v>
      </c>
      <c r="O317" s="145">
        <f t="shared" si="72"/>
        <v>0</v>
      </c>
      <c r="P317" s="145">
        <f t="shared" si="72"/>
        <v>0</v>
      </c>
      <c r="Q317" s="145">
        <f t="shared" si="72"/>
        <v>0.39058025506328897</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213</v>
      </c>
      <c r="G318" t="s">
        <v>168</v>
      </c>
      <c r="J318" s="317">
        <f t="shared" ref="J318:Y318" si="73">IF(J$39, J46, J$34)</f>
        <v>0.39058025506328897</v>
      </c>
      <c r="K318" s="317">
        <f t="shared" si="73"/>
        <v>0.39058025506328897</v>
      </c>
      <c r="L318" s="317">
        <f t="shared" si="73"/>
        <v>0.39058025506328897</v>
      </c>
      <c r="M318" s="317">
        <f t="shared" si="73"/>
        <v>0.39058025506328897</v>
      </c>
      <c r="N318" s="317">
        <f t="shared" si="73"/>
        <v>0.39058025506328897</v>
      </c>
      <c r="O318" s="317">
        <f t="shared" si="73"/>
        <v>0</v>
      </c>
      <c r="P318" s="317">
        <f t="shared" si="73"/>
        <v>0</v>
      </c>
      <c r="Q318" s="317">
        <f t="shared" si="73"/>
        <v>0.39058025506328897</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25">
      <c r="C319" s="27"/>
      <c r="F319" s="62" t="s">
        <v>251</v>
      </c>
      <c r="G319" t="s">
        <v>168</v>
      </c>
      <c r="J319" s="317">
        <f t="shared" ref="J319:Y319" si="74">IF(J$39, J47, J$34)</f>
        <v>0.39058025506328897</v>
      </c>
      <c r="K319" s="317">
        <f t="shared" si="74"/>
        <v>0.39058025506328897</v>
      </c>
      <c r="L319" s="317">
        <f t="shared" si="74"/>
        <v>0.39058025506328897</v>
      </c>
      <c r="M319" s="317">
        <f t="shared" si="74"/>
        <v>0.39058025506328897</v>
      </c>
      <c r="N319" s="317">
        <f t="shared" si="74"/>
        <v>0.39058025506328897</v>
      </c>
      <c r="O319" s="317">
        <f t="shared" si="74"/>
        <v>0</v>
      </c>
      <c r="P319" s="317">
        <f t="shared" si="74"/>
        <v>0</v>
      </c>
      <c r="Q319" s="317">
        <f t="shared" si="74"/>
        <v>0.39058025506328897</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25">
      <c r="C320" s="27"/>
      <c r="F320" s="62" t="s">
        <v>253</v>
      </c>
      <c r="G320" t="s">
        <v>168</v>
      </c>
      <c r="J320" s="317">
        <f t="shared" ref="J320:Y320" si="75">IF(J$39, J48, J$34)</f>
        <v>0.39058025506328897</v>
      </c>
      <c r="K320" s="317">
        <f t="shared" si="75"/>
        <v>0.39058025506328897</v>
      </c>
      <c r="L320" s="317">
        <f t="shared" si="75"/>
        <v>0.39058025506328897</v>
      </c>
      <c r="M320" s="317">
        <f t="shared" si="75"/>
        <v>0.39058025506328897</v>
      </c>
      <c r="N320" s="317">
        <f t="shared" si="75"/>
        <v>0.39058025506328897</v>
      </c>
      <c r="O320" s="317">
        <f t="shared" si="75"/>
        <v>0</v>
      </c>
      <c r="P320" s="317">
        <f t="shared" si="75"/>
        <v>0</v>
      </c>
      <c r="Q320" s="317">
        <f t="shared" si="75"/>
        <v>0.39058025506328897</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25">
      <c r="C321" s="27"/>
      <c r="F321" s="70" t="s">
        <v>254</v>
      </c>
      <c r="G321" s="28" t="s">
        <v>168</v>
      </c>
      <c r="H321" s="28"/>
      <c r="I321" s="28"/>
      <c r="J321" s="145">
        <f t="shared" ref="J321:Y321" si="76">IF(J$39, J49, J$34)</f>
        <v>0.39058025506328897</v>
      </c>
      <c r="K321" s="145">
        <f t="shared" si="76"/>
        <v>0.39058025506328897</v>
      </c>
      <c r="L321" s="145">
        <f t="shared" si="76"/>
        <v>0.39058025506328897</v>
      </c>
      <c r="M321" s="145">
        <f t="shared" si="76"/>
        <v>0.39058025506328897</v>
      </c>
      <c r="N321" s="145">
        <f t="shared" si="76"/>
        <v>0.39058025506328897</v>
      </c>
      <c r="O321" s="145">
        <f t="shared" si="76"/>
        <v>0</v>
      </c>
      <c r="P321" s="145">
        <f t="shared" si="76"/>
        <v>0</v>
      </c>
      <c r="Q321" s="145">
        <f t="shared" si="76"/>
        <v>0.39058025506328897</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248</v>
      </c>
      <c r="G324" s="19" t="s">
        <v>168</v>
      </c>
      <c r="H324" s="19"/>
      <c r="I324" s="19"/>
      <c r="J324" s="144">
        <f>IF(J$39, J$45, J$35)</f>
        <v>0.5844622071010992</v>
      </c>
      <c r="K324" s="144">
        <f t="shared" ref="K324:Y326" si="77">IF(K$39, K$45, K$35)</f>
        <v>0.5844622071010992</v>
      </c>
      <c r="L324" s="144">
        <f t="shared" si="77"/>
        <v>0.5844622071010992</v>
      </c>
      <c r="M324" s="144">
        <f t="shared" si="77"/>
        <v>0.5844622071010992</v>
      </c>
      <c r="N324" s="144">
        <f t="shared" si="77"/>
        <v>0.5844622071010992</v>
      </c>
      <c r="O324" s="144">
        <f t="shared" si="77"/>
        <v>0.30237542617520075</v>
      </c>
      <c r="P324" s="144">
        <f t="shared" si="77"/>
        <v>0.17250073175528055</v>
      </c>
      <c r="Q324" s="144">
        <f t="shared" si="77"/>
        <v>0.5844622071010992</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249</v>
      </c>
      <c r="G325" t="s">
        <v>168</v>
      </c>
      <c r="J325" s="317">
        <f t="shared" ref="J325:J326" si="78">IF(J$39, J$45, J$35)</f>
        <v>0.5844622071010992</v>
      </c>
      <c r="K325" s="317">
        <f t="shared" si="77"/>
        <v>0.5844622071010992</v>
      </c>
      <c r="L325" s="317">
        <f t="shared" si="77"/>
        <v>0.5844622071010992</v>
      </c>
      <c r="M325" s="317">
        <f t="shared" si="77"/>
        <v>0.5844622071010992</v>
      </c>
      <c r="N325" s="317">
        <f t="shared" si="77"/>
        <v>0.5844622071010992</v>
      </c>
      <c r="O325" s="317">
        <f t="shared" si="77"/>
        <v>0.30237542617520075</v>
      </c>
      <c r="P325" s="317">
        <f t="shared" si="77"/>
        <v>0.17250073175528055</v>
      </c>
      <c r="Q325" s="317">
        <f t="shared" si="77"/>
        <v>0.5844622071010992</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25">
      <c r="C326" s="27"/>
      <c r="F326" s="70" t="s">
        <v>250</v>
      </c>
      <c r="G326" s="28" t="s">
        <v>168</v>
      </c>
      <c r="H326" s="28"/>
      <c r="I326" s="28"/>
      <c r="J326" s="145">
        <f t="shared" si="78"/>
        <v>0.5844622071010992</v>
      </c>
      <c r="K326" s="145">
        <f t="shared" si="77"/>
        <v>0.5844622071010992</v>
      </c>
      <c r="L326" s="145">
        <f t="shared" si="77"/>
        <v>0.5844622071010992</v>
      </c>
      <c r="M326" s="145">
        <f t="shared" si="77"/>
        <v>0.5844622071010992</v>
      </c>
      <c r="N326" s="145">
        <f t="shared" si="77"/>
        <v>0.5844622071010992</v>
      </c>
      <c r="O326" s="145">
        <f t="shared" si="77"/>
        <v>0.30237542617520075</v>
      </c>
      <c r="P326" s="145">
        <f t="shared" si="77"/>
        <v>0.17250073175528055</v>
      </c>
      <c r="Q326" s="145">
        <f t="shared" si="77"/>
        <v>0.5844622071010992</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213</v>
      </c>
      <c r="G327" t="s">
        <v>168</v>
      </c>
      <c r="J327" s="317">
        <f t="shared" ref="J327:Y327" si="79">IF(J$39, J46, J$35)</f>
        <v>0.5844622071010992</v>
      </c>
      <c r="K327" s="317">
        <f t="shared" si="79"/>
        <v>0.5844622071010992</v>
      </c>
      <c r="L327" s="317">
        <f t="shared" si="79"/>
        <v>0.5844622071010992</v>
      </c>
      <c r="M327" s="317">
        <f t="shared" si="79"/>
        <v>0.5844622071010992</v>
      </c>
      <c r="N327" s="317">
        <f t="shared" si="79"/>
        <v>0.5844622071010992</v>
      </c>
      <c r="O327" s="317">
        <f t="shared" si="79"/>
        <v>0.30237542617520075</v>
      </c>
      <c r="P327" s="317">
        <f t="shared" si="79"/>
        <v>0.17250073175528055</v>
      </c>
      <c r="Q327" s="317">
        <f t="shared" si="79"/>
        <v>0.5844622071010992</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25">
      <c r="C328" s="27"/>
      <c r="F328" s="62" t="s">
        <v>251</v>
      </c>
      <c r="G328" t="s">
        <v>168</v>
      </c>
      <c r="J328" s="317">
        <f t="shared" ref="J328:Y328" si="80">IF(J$39, J47, J$35)</f>
        <v>0.5844622071010992</v>
      </c>
      <c r="K328" s="317">
        <f t="shared" si="80"/>
        <v>0.5844622071010992</v>
      </c>
      <c r="L328" s="317">
        <f t="shared" si="80"/>
        <v>0.5844622071010992</v>
      </c>
      <c r="M328" s="317">
        <f t="shared" si="80"/>
        <v>0.5844622071010992</v>
      </c>
      <c r="N328" s="317">
        <f t="shared" si="80"/>
        <v>0.5844622071010992</v>
      </c>
      <c r="O328" s="317">
        <f t="shared" si="80"/>
        <v>0.30237542617520075</v>
      </c>
      <c r="P328" s="317">
        <f t="shared" si="80"/>
        <v>0.17250073175528055</v>
      </c>
      <c r="Q328" s="317">
        <f t="shared" si="80"/>
        <v>0.5844622071010992</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25">
      <c r="C329" s="27"/>
      <c r="F329" s="62" t="s">
        <v>253</v>
      </c>
      <c r="G329" t="s">
        <v>168</v>
      </c>
      <c r="J329" s="317">
        <f t="shared" ref="J329:Y329" si="81">IF(J$39, J48, J$35)</f>
        <v>0.5844622071010992</v>
      </c>
      <c r="K329" s="317">
        <f t="shared" si="81"/>
        <v>0.5844622071010992</v>
      </c>
      <c r="L329" s="317">
        <f t="shared" si="81"/>
        <v>0.5844622071010992</v>
      </c>
      <c r="M329" s="317">
        <f t="shared" si="81"/>
        <v>0.5844622071010992</v>
      </c>
      <c r="N329" s="317">
        <f t="shared" si="81"/>
        <v>0.5844622071010992</v>
      </c>
      <c r="O329" s="317">
        <f t="shared" si="81"/>
        <v>0.30237542617520075</v>
      </c>
      <c r="P329" s="317">
        <f t="shared" si="81"/>
        <v>0.17250073175528055</v>
      </c>
      <c r="Q329" s="317">
        <f t="shared" si="81"/>
        <v>0.5844622071010992</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25">
      <c r="C330" s="27"/>
      <c r="F330" s="70" t="s">
        <v>254</v>
      </c>
      <c r="G330" s="28" t="s">
        <v>168</v>
      </c>
      <c r="H330" s="28"/>
      <c r="I330" s="28"/>
      <c r="J330" s="145">
        <f t="shared" ref="J330:Y330" si="82">IF(J$39, J49, J$35)</f>
        <v>0.5844622071010992</v>
      </c>
      <c r="K330" s="145">
        <f t="shared" si="82"/>
        <v>0.5844622071010992</v>
      </c>
      <c r="L330" s="145">
        <f t="shared" si="82"/>
        <v>0.5844622071010992</v>
      </c>
      <c r="M330" s="145">
        <f t="shared" si="82"/>
        <v>0.5844622071010992</v>
      </c>
      <c r="N330" s="145">
        <f t="shared" si="82"/>
        <v>0.5844622071010992</v>
      </c>
      <c r="O330" s="145">
        <f t="shared" si="82"/>
        <v>0.30237542617520075</v>
      </c>
      <c r="P330" s="145">
        <f t="shared" si="82"/>
        <v>0.17250073175528055</v>
      </c>
      <c r="Q330" s="145">
        <f t="shared" si="82"/>
        <v>0.5844622071010992</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155</v>
      </c>
      <c r="AQ334" s="3"/>
    </row>
    <row r="335" spans="3:43" x14ac:dyDescent="0.25">
      <c r="E335" s="27"/>
      <c r="F335" s="68" t="s">
        <v>248</v>
      </c>
      <c r="G335" s="68" t="s">
        <v>208</v>
      </c>
      <c r="H335" s="19"/>
      <c r="I335" s="19"/>
      <c r="J335" s="73"/>
      <c r="K335" s="116">
        <f t="shared" ref="K335:P341" si="83">(1 - K315) * K105</f>
        <v>0</v>
      </c>
      <c r="L335" s="116">
        <f t="shared" si="83"/>
        <v>1.7905013534572083E-3</v>
      </c>
      <c r="M335" s="116">
        <f t="shared" si="83"/>
        <v>0</v>
      </c>
      <c r="N335" s="116">
        <f t="shared" si="83"/>
        <v>0.22634253433929349</v>
      </c>
      <c r="O335" s="116">
        <f t="shared" si="83"/>
        <v>0</v>
      </c>
      <c r="P335" s="116">
        <f t="shared" si="83"/>
        <v>0</v>
      </c>
      <c r="Q335" s="73"/>
      <c r="R335" s="116">
        <f t="shared" ref="R335:Y341" si="84">(1 - R315) * R105</f>
        <v>2.4079999999999995</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249</v>
      </c>
      <c r="G336" s="62" t="s">
        <v>208</v>
      </c>
      <c r="J336" s="316"/>
      <c r="K336" s="315">
        <f t="shared" si="83"/>
        <v>0</v>
      </c>
      <c r="L336" s="315">
        <f t="shared" si="83"/>
        <v>1.6041238278608851E-2</v>
      </c>
      <c r="M336" s="315">
        <f t="shared" si="83"/>
        <v>0</v>
      </c>
      <c r="N336" s="315">
        <f t="shared" si="83"/>
        <v>1.6163431671626531</v>
      </c>
      <c r="O336" s="315">
        <f t="shared" si="83"/>
        <v>0</v>
      </c>
      <c r="P336" s="315">
        <f t="shared" si="83"/>
        <v>0</v>
      </c>
      <c r="Q336" s="316"/>
      <c r="R336" s="315">
        <f t="shared" si="84"/>
        <v>163.50900000000001</v>
      </c>
      <c r="S336" s="315">
        <f t="shared" si="84"/>
        <v>0</v>
      </c>
      <c r="T336" s="315">
        <f t="shared" si="84"/>
        <v>0</v>
      </c>
      <c r="U336" s="315">
        <f t="shared" si="84"/>
        <v>0</v>
      </c>
      <c r="V336" s="315">
        <f t="shared" si="84"/>
        <v>0</v>
      </c>
      <c r="W336" s="315">
        <f t="shared" si="84"/>
        <v>0</v>
      </c>
      <c r="X336" s="315">
        <f t="shared" si="84"/>
        <v>0</v>
      </c>
      <c r="Y336" s="315">
        <f t="shared" si="84"/>
        <v>0</v>
      </c>
      <c r="AQ336" s="3"/>
    </row>
    <row r="337" spans="5:43" x14ac:dyDescent="0.25">
      <c r="E337" s="27"/>
      <c r="F337" s="62" t="s">
        <v>250</v>
      </c>
      <c r="G337" s="62" t="s">
        <v>208</v>
      </c>
      <c r="J337" s="316"/>
      <c r="K337" s="315">
        <f t="shared" si="83"/>
        <v>0</v>
      </c>
      <c r="L337" s="315">
        <f t="shared" si="83"/>
        <v>1.1973653223515906E-2</v>
      </c>
      <c r="M337" s="315">
        <f t="shared" si="83"/>
        <v>0</v>
      </c>
      <c r="N337" s="315">
        <f t="shared" si="83"/>
        <v>1.5821318947489482</v>
      </c>
      <c r="O337" s="315">
        <f t="shared" si="83"/>
        <v>0</v>
      </c>
      <c r="P337" s="315">
        <f t="shared" si="83"/>
        <v>0</v>
      </c>
      <c r="Q337" s="316"/>
      <c r="R337" s="315">
        <f t="shared" si="84"/>
        <v>56.274000000000008</v>
      </c>
      <c r="S337" s="315">
        <f t="shared" si="84"/>
        <v>0</v>
      </c>
      <c r="T337" s="315">
        <f t="shared" si="84"/>
        <v>0</v>
      </c>
      <c r="U337" s="315">
        <f t="shared" si="84"/>
        <v>0</v>
      </c>
      <c r="V337" s="315">
        <f t="shared" si="84"/>
        <v>0</v>
      </c>
      <c r="W337" s="315">
        <f t="shared" si="84"/>
        <v>0</v>
      </c>
      <c r="X337" s="315">
        <f t="shared" si="84"/>
        <v>0</v>
      </c>
      <c r="Y337" s="315">
        <f t="shared" si="84"/>
        <v>0</v>
      </c>
      <c r="AQ337" s="3"/>
    </row>
    <row r="338" spans="5:43" x14ac:dyDescent="0.25">
      <c r="E338" s="27"/>
      <c r="F338" s="62" t="s">
        <v>213</v>
      </c>
      <c r="G338" s="62" t="s">
        <v>213</v>
      </c>
      <c r="J338" s="316"/>
      <c r="K338" s="315">
        <f t="shared" si="83"/>
        <v>0</v>
      </c>
      <c r="L338" s="315">
        <f t="shared" si="83"/>
        <v>7.6929991024880573E-2</v>
      </c>
      <c r="M338" s="315">
        <f t="shared" si="83"/>
        <v>0</v>
      </c>
      <c r="N338" s="315">
        <f t="shared" si="83"/>
        <v>0.21156308415765501</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25">
      <c r="E339" s="27"/>
      <c r="F339" s="62" t="s">
        <v>251</v>
      </c>
      <c r="G339" s="62" t="s">
        <v>252</v>
      </c>
      <c r="J339" s="316"/>
      <c r="K339" s="315">
        <f t="shared" si="83"/>
        <v>0</v>
      </c>
      <c r="L339" s="315">
        <f t="shared" si="83"/>
        <v>0</v>
      </c>
      <c r="M339" s="315">
        <f t="shared" si="83"/>
        <v>0</v>
      </c>
      <c r="N339" s="315">
        <f t="shared" si="83"/>
        <v>9.1370522337631481</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25">
      <c r="E340" s="27"/>
      <c r="F340" s="62" t="s">
        <v>253</v>
      </c>
      <c r="G340" s="62" t="s">
        <v>252</v>
      </c>
      <c r="J340" s="316"/>
      <c r="K340" s="315">
        <f t="shared" si="83"/>
        <v>0</v>
      </c>
      <c r="L340" s="315">
        <f t="shared" si="83"/>
        <v>0</v>
      </c>
      <c r="M340" s="315">
        <f t="shared" si="83"/>
        <v>0</v>
      </c>
      <c r="N340" s="315">
        <f t="shared" si="83"/>
        <v>0.45418886452745494</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25">
      <c r="E341" s="27"/>
      <c r="F341" s="70" t="s">
        <v>254</v>
      </c>
      <c r="G341" s="70" t="s">
        <v>255</v>
      </c>
      <c r="H341" s="28"/>
      <c r="I341" s="28"/>
      <c r="J341" s="71"/>
      <c r="K341" s="90">
        <f t="shared" si="83"/>
        <v>0</v>
      </c>
      <c r="L341" s="90">
        <f t="shared" si="83"/>
        <v>0</v>
      </c>
      <c r="M341" s="90">
        <f t="shared" si="83"/>
        <v>0</v>
      </c>
      <c r="N341" s="90">
        <f t="shared" si="83"/>
        <v>1.964139836894484</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155</v>
      </c>
      <c r="AQ343" s="3"/>
    </row>
    <row r="344" spans="5:43" x14ac:dyDescent="0.25">
      <c r="E344" s="27"/>
      <c r="F344" s="68" t="s">
        <v>248</v>
      </c>
      <c r="G344" s="68" t="s">
        <v>208</v>
      </c>
      <c r="H344" s="19"/>
      <c r="I344" s="19"/>
      <c r="J344" s="73"/>
      <c r="K344" s="116">
        <f t="shared" ref="K344:P350" si="85">(1 - K324) * K152</f>
        <v>0</v>
      </c>
      <c r="L344" s="116">
        <f t="shared" si="85"/>
        <v>7.4557023884001062E-3</v>
      </c>
      <c r="M344" s="116">
        <f t="shared" si="85"/>
        <v>0</v>
      </c>
      <c r="N344" s="116">
        <f t="shared" si="85"/>
        <v>3.2303070933152367</v>
      </c>
      <c r="O344" s="116">
        <f t="shared" si="85"/>
        <v>0.39508676584687741</v>
      </c>
      <c r="P344" s="116">
        <f t="shared" si="85"/>
        <v>2.9007650847264865</v>
      </c>
      <c r="Q344" s="73"/>
      <c r="R344" s="116">
        <f t="shared" ref="R344:Y350" si="86">(1 - R324) * R152</f>
        <v>6.234</v>
      </c>
      <c r="S344" s="116">
        <f t="shared" si="86"/>
        <v>0</v>
      </c>
      <c r="T344" s="116">
        <f t="shared" si="86"/>
        <v>7.8260000000000032</v>
      </c>
      <c r="U344" s="116">
        <f t="shared" si="86"/>
        <v>0</v>
      </c>
      <c r="V344" s="116">
        <f t="shared" si="86"/>
        <v>0</v>
      </c>
      <c r="W344" s="116">
        <f t="shared" si="86"/>
        <v>0</v>
      </c>
      <c r="X344" s="116">
        <f t="shared" si="86"/>
        <v>0</v>
      </c>
      <c r="Y344" s="116">
        <f t="shared" si="86"/>
        <v>0</v>
      </c>
      <c r="AQ344" s="3"/>
    </row>
    <row r="345" spans="5:43" x14ac:dyDescent="0.25">
      <c r="E345" s="27"/>
      <c r="F345" s="62" t="s">
        <v>249</v>
      </c>
      <c r="G345" s="62" t="s">
        <v>208</v>
      </c>
      <c r="J345" s="316"/>
      <c r="K345" s="315">
        <f t="shared" si="85"/>
        <v>0</v>
      </c>
      <c r="L345" s="315">
        <f t="shared" si="85"/>
        <v>5.9572461743040754E-2</v>
      </c>
      <c r="M345" s="315">
        <f t="shared" si="85"/>
        <v>0</v>
      </c>
      <c r="N345" s="315">
        <f t="shared" si="85"/>
        <v>20.874416147256166</v>
      </c>
      <c r="O345" s="315">
        <f t="shared" si="85"/>
        <v>2.3953089749359617</v>
      </c>
      <c r="P345" s="315">
        <f t="shared" si="85"/>
        <v>18.838076197558994</v>
      </c>
      <c r="Q345" s="316"/>
      <c r="R345" s="315">
        <f t="shared" si="86"/>
        <v>163.50900000000001</v>
      </c>
      <c r="S345" s="315">
        <f t="shared" si="86"/>
        <v>0</v>
      </c>
      <c r="T345" s="315">
        <f t="shared" si="86"/>
        <v>65.302000000000007</v>
      </c>
      <c r="U345" s="315">
        <f t="shared" si="86"/>
        <v>0</v>
      </c>
      <c r="V345" s="315">
        <f t="shared" si="86"/>
        <v>0</v>
      </c>
      <c r="W345" s="315">
        <f t="shared" si="86"/>
        <v>0</v>
      </c>
      <c r="X345" s="315">
        <f t="shared" si="86"/>
        <v>0</v>
      </c>
      <c r="Y345" s="315">
        <f t="shared" si="86"/>
        <v>0</v>
      </c>
      <c r="AQ345" s="3"/>
    </row>
    <row r="346" spans="5:43" x14ac:dyDescent="0.25">
      <c r="E346" s="27"/>
      <c r="F346" s="62" t="s">
        <v>250</v>
      </c>
      <c r="G346" s="62" t="s">
        <v>208</v>
      </c>
      <c r="J346" s="316"/>
      <c r="K346" s="315">
        <f t="shared" si="85"/>
        <v>0</v>
      </c>
      <c r="L346" s="315">
        <f t="shared" si="85"/>
        <v>4.5133148781188799E-2</v>
      </c>
      <c r="M346" s="315">
        <f t="shared" si="85"/>
        <v>0</v>
      </c>
      <c r="N346" s="315">
        <f t="shared" si="85"/>
        <v>20.153018860930182</v>
      </c>
      <c r="O346" s="315">
        <f t="shared" si="85"/>
        <v>2.8803081822827137</v>
      </c>
      <c r="P346" s="315">
        <f t="shared" si="85"/>
        <v>21.717571750115738</v>
      </c>
      <c r="Q346" s="316"/>
      <c r="R346" s="315">
        <f t="shared" si="86"/>
        <v>56.274000000000008</v>
      </c>
      <c r="S346" s="315">
        <f t="shared" si="86"/>
        <v>0</v>
      </c>
      <c r="T346" s="315">
        <f t="shared" si="86"/>
        <v>69.393999999999991</v>
      </c>
      <c r="U346" s="315">
        <f t="shared" si="86"/>
        <v>0</v>
      </c>
      <c r="V346" s="315">
        <f t="shared" si="86"/>
        <v>0</v>
      </c>
      <c r="W346" s="315">
        <f t="shared" si="86"/>
        <v>0</v>
      </c>
      <c r="X346" s="315">
        <f t="shared" si="86"/>
        <v>0</v>
      </c>
      <c r="Y346" s="315">
        <f t="shared" si="86"/>
        <v>0</v>
      </c>
      <c r="AQ346" s="3"/>
    </row>
    <row r="347" spans="5:43" x14ac:dyDescent="0.25">
      <c r="E347" s="27"/>
      <c r="F347" s="62" t="s">
        <v>213</v>
      </c>
      <c r="G347" s="62" t="s">
        <v>213</v>
      </c>
      <c r="J347" s="316"/>
      <c r="K347" s="315">
        <f t="shared" si="85"/>
        <v>0</v>
      </c>
      <c r="L347" s="315">
        <f t="shared" si="85"/>
        <v>0.19725565508589613</v>
      </c>
      <c r="M347" s="315">
        <f t="shared" si="85"/>
        <v>0</v>
      </c>
      <c r="N347" s="315">
        <f t="shared" si="85"/>
        <v>1.1388705958456917</v>
      </c>
      <c r="O347" s="315">
        <f t="shared" si="85"/>
        <v>3.4813834494102879E-2</v>
      </c>
      <c r="P347" s="315">
        <f t="shared" si="85"/>
        <v>1.0522532320447964</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25">
      <c r="E348" s="27"/>
      <c r="F348" s="62" t="s">
        <v>251</v>
      </c>
      <c r="G348" s="62" t="s">
        <v>252</v>
      </c>
      <c r="J348" s="316"/>
      <c r="K348" s="315">
        <f t="shared" si="85"/>
        <v>0</v>
      </c>
      <c r="L348" s="315">
        <f t="shared" si="85"/>
        <v>0</v>
      </c>
      <c r="M348" s="315">
        <f t="shared" si="85"/>
        <v>0</v>
      </c>
      <c r="N348" s="315">
        <f t="shared" si="85"/>
        <v>69.839865881818483</v>
      </c>
      <c r="O348" s="315">
        <f t="shared" si="85"/>
        <v>8.6454608450935932</v>
      </c>
      <c r="P348" s="315">
        <f t="shared" si="85"/>
        <v>265.9216368709221</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25">
      <c r="E349" s="27"/>
      <c r="F349" s="62" t="s">
        <v>253</v>
      </c>
      <c r="G349" s="62" t="s">
        <v>252</v>
      </c>
      <c r="J349" s="316"/>
      <c r="K349" s="315">
        <f t="shared" si="85"/>
        <v>0</v>
      </c>
      <c r="L349" s="315">
        <f t="shared" si="85"/>
        <v>0</v>
      </c>
      <c r="M349" s="315">
        <f t="shared" si="85"/>
        <v>0</v>
      </c>
      <c r="N349" s="315">
        <f t="shared" si="85"/>
        <v>0.8056696074467925</v>
      </c>
      <c r="O349" s="315">
        <f t="shared" si="85"/>
        <v>0</v>
      </c>
      <c r="P349" s="315">
        <f t="shared" si="85"/>
        <v>0</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25">
      <c r="E350" s="27"/>
      <c r="F350" s="70" t="s">
        <v>254</v>
      </c>
      <c r="G350" s="70" t="s">
        <v>255</v>
      </c>
      <c r="H350" s="28"/>
      <c r="I350" s="28"/>
      <c r="J350" s="71"/>
      <c r="K350" s="90">
        <f t="shared" si="85"/>
        <v>0</v>
      </c>
      <c r="L350" s="90">
        <f t="shared" si="85"/>
        <v>0</v>
      </c>
      <c r="M350" s="90">
        <f t="shared" si="85"/>
        <v>0</v>
      </c>
      <c r="N350" s="90">
        <f t="shared" si="85"/>
        <v>5.303185742389779</v>
      </c>
      <c r="O350" s="90">
        <f t="shared" si="85"/>
        <v>0.32083608291745502</v>
      </c>
      <c r="P350" s="90">
        <f t="shared" si="85"/>
        <v>8.930714401069034</v>
      </c>
      <c r="Q350" s="71"/>
      <c r="R350" s="90">
        <f t="shared" si="86"/>
        <v>0</v>
      </c>
      <c r="S350" s="90">
        <f t="shared" si="86"/>
        <v>0</v>
      </c>
      <c r="T350" s="90">
        <f t="shared" si="86"/>
        <v>11.432412652588173</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155</v>
      </c>
      <c r="AQ352" s="3"/>
    </row>
    <row r="353" spans="3:43" x14ac:dyDescent="0.25">
      <c r="E353" s="27"/>
      <c r="F353" s="68" t="s">
        <v>248</v>
      </c>
      <c r="G353" s="68" t="s">
        <v>208</v>
      </c>
      <c r="H353" s="19"/>
      <c r="I353" s="19"/>
      <c r="J353" s="73"/>
      <c r="K353" s="116">
        <f t="shared" ref="K353:P359" si="87">K58+K335+K344</f>
        <v>35.655431680661394</v>
      </c>
      <c r="L353" s="116">
        <f t="shared" si="87"/>
        <v>1.96160685643024</v>
      </c>
      <c r="M353" s="116">
        <f t="shared" si="87"/>
        <v>26.359392987120788</v>
      </c>
      <c r="N353" s="116">
        <f t="shared" si="87"/>
        <v>115.21540671198797</v>
      </c>
      <c r="O353" s="116">
        <f t="shared" si="87"/>
        <v>40.50566821701743</v>
      </c>
      <c r="P353" s="116">
        <f t="shared" si="87"/>
        <v>392.63546480335503</v>
      </c>
      <c r="Q353" s="73"/>
      <c r="R353" s="116">
        <f t="shared" ref="R353:Y359" si="88">R58+R335+R344</f>
        <v>457.81298617729391</v>
      </c>
      <c r="S353" s="116">
        <f t="shared" si="88"/>
        <v>0</v>
      </c>
      <c r="T353" s="116">
        <f t="shared" si="88"/>
        <v>3301.2298045794673</v>
      </c>
      <c r="U353" s="116">
        <f t="shared" si="88"/>
        <v>0</v>
      </c>
      <c r="V353" s="116">
        <f t="shared" si="88"/>
        <v>811.80541464978148</v>
      </c>
      <c r="W353" s="116">
        <f t="shared" si="88"/>
        <v>0</v>
      </c>
      <c r="X353" s="116">
        <f t="shared" si="88"/>
        <v>36268.325369716345</v>
      </c>
      <c r="Y353" s="116">
        <f t="shared" si="88"/>
        <v>0</v>
      </c>
      <c r="AQ353" s="3"/>
    </row>
    <row r="354" spans="3:43" x14ac:dyDescent="0.25">
      <c r="E354" s="27"/>
      <c r="F354" s="62" t="s">
        <v>249</v>
      </c>
      <c r="G354" s="62" t="s">
        <v>208</v>
      </c>
      <c r="J354" s="316"/>
      <c r="K354" s="315">
        <f t="shared" si="87"/>
        <v>3242.2928055299481</v>
      </c>
      <c r="L354" s="315">
        <f t="shared" si="87"/>
        <v>15.655645106239813</v>
      </c>
      <c r="M354" s="315">
        <f t="shared" si="87"/>
        <v>1539.4768248033429</v>
      </c>
      <c r="N354" s="315">
        <f t="shared" si="87"/>
        <v>828.78531134544824</v>
      </c>
      <c r="O354" s="315">
        <f t="shared" si="87"/>
        <v>296.80151854627934</v>
      </c>
      <c r="P354" s="315">
        <f t="shared" si="87"/>
        <v>2726.1973322754607</v>
      </c>
      <c r="Q354" s="316"/>
      <c r="R354" s="315">
        <f t="shared" si="88"/>
        <v>4560.9701820488117</v>
      </c>
      <c r="S354" s="315">
        <f t="shared" si="88"/>
        <v>0</v>
      </c>
      <c r="T354" s="315">
        <f t="shared" si="88"/>
        <v>31812.380256598921</v>
      </c>
      <c r="U354" s="315">
        <f t="shared" si="88"/>
        <v>0</v>
      </c>
      <c r="V354" s="315">
        <f t="shared" si="88"/>
        <v>7185.4690196373358</v>
      </c>
      <c r="W354" s="315">
        <f t="shared" si="88"/>
        <v>0</v>
      </c>
      <c r="X354" s="315">
        <f t="shared" si="88"/>
        <v>289073.53494591836</v>
      </c>
      <c r="Y354" s="315">
        <f t="shared" si="88"/>
        <v>0</v>
      </c>
      <c r="AQ354" s="3"/>
    </row>
    <row r="355" spans="3:43" x14ac:dyDescent="0.25">
      <c r="E355" s="27"/>
      <c r="F355" s="62" t="s">
        <v>250</v>
      </c>
      <c r="G355" s="62" t="s">
        <v>208</v>
      </c>
      <c r="J355" s="316"/>
      <c r="K355" s="315">
        <f t="shared" si="87"/>
        <v>25948.408931906615</v>
      </c>
      <c r="L355" s="315">
        <f t="shared" si="87"/>
        <v>13.339105581449177</v>
      </c>
      <c r="M355" s="315">
        <f t="shared" si="87"/>
        <v>10781.362867132962</v>
      </c>
      <c r="N355" s="315">
        <f t="shared" si="87"/>
        <v>739.22191634681985</v>
      </c>
      <c r="O355" s="315">
        <f t="shared" si="87"/>
        <v>293.4416559359554</v>
      </c>
      <c r="P355" s="315">
        <f t="shared" si="87"/>
        <v>3102.6282668709232</v>
      </c>
      <c r="Q355" s="316"/>
      <c r="R355" s="315">
        <f t="shared" si="88"/>
        <v>2254.3906596998399</v>
      </c>
      <c r="S355" s="315">
        <f t="shared" si="88"/>
        <v>0</v>
      </c>
      <c r="T355" s="315">
        <f t="shared" si="88"/>
        <v>27528.063337650925</v>
      </c>
      <c r="U355" s="315">
        <f t="shared" si="88"/>
        <v>0</v>
      </c>
      <c r="V355" s="315">
        <f t="shared" si="88"/>
        <v>6962.9505694314412</v>
      </c>
      <c r="W355" s="315">
        <f t="shared" si="88"/>
        <v>0</v>
      </c>
      <c r="X355" s="315">
        <f t="shared" si="88"/>
        <v>234787.57468174878</v>
      </c>
      <c r="Y355" s="315">
        <f t="shared" si="88"/>
        <v>0</v>
      </c>
      <c r="AQ355" s="3"/>
    </row>
    <row r="356" spans="3:43" x14ac:dyDescent="0.25">
      <c r="E356" s="27"/>
      <c r="F356" s="62" t="s">
        <v>213</v>
      </c>
      <c r="G356" s="62" t="s">
        <v>213</v>
      </c>
      <c r="J356" s="316"/>
      <c r="K356" s="315">
        <f t="shared" si="87"/>
        <v>0</v>
      </c>
      <c r="L356" s="315">
        <f t="shared" si="87"/>
        <v>57.046666973825495</v>
      </c>
      <c r="M356" s="315">
        <f t="shared" si="87"/>
        <v>0</v>
      </c>
      <c r="N356" s="315">
        <f t="shared" si="87"/>
        <v>59.338384301213082</v>
      </c>
      <c r="O356" s="315">
        <f t="shared" si="87"/>
        <v>8.0346264376467342</v>
      </c>
      <c r="P356" s="315">
        <f t="shared" si="87"/>
        <v>144.04883870416532</v>
      </c>
      <c r="Q356" s="316"/>
      <c r="R356" s="315">
        <f t="shared" si="88"/>
        <v>0</v>
      </c>
      <c r="S356" s="315">
        <f t="shared" si="88"/>
        <v>0</v>
      </c>
      <c r="T356" s="315">
        <f t="shared" si="88"/>
        <v>0</v>
      </c>
      <c r="U356" s="315">
        <f t="shared" si="88"/>
        <v>0</v>
      </c>
      <c r="V356" s="315">
        <f t="shared" si="88"/>
        <v>0</v>
      </c>
      <c r="W356" s="315">
        <f t="shared" si="88"/>
        <v>0</v>
      </c>
      <c r="X356" s="315">
        <f t="shared" si="88"/>
        <v>272.95468099853321</v>
      </c>
      <c r="Y356" s="315">
        <f t="shared" si="88"/>
        <v>0</v>
      </c>
      <c r="AQ356" s="3"/>
    </row>
    <row r="357" spans="3:43" x14ac:dyDescent="0.25">
      <c r="E357" s="27"/>
      <c r="F357" s="62" t="s">
        <v>251</v>
      </c>
      <c r="G357" s="62" t="s">
        <v>252</v>
      </c>
      <c r="J357" s="316"/>
      <c r="K357" s="315">
        <f t="shared" si="87"/>
        <v>0</v>
      </c>
      <c r="L357" s="315">
        <f t="shared" si="87"/>
        <v>0</v>
      </c>
      <c r="M357" s="315">
        <f t="shared" si="87"/>
        <v>0</v>
      </c>
      <c r="N357" s="315">
        <f t="shared" si="87"/>
        <v>2001.0160798988677</v>
      </c>
      <c r="O357" s="315">
        <f t="shared" si="87"/>
        <v>708.6544455600615</v>
      </c>
      <c r="P357" s="315">
        <f t="shared" si="87"/>
        <v>20696.442651176971</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25">
      <c r="E358" s="27"/>
      <c r="F358" s="62" t="s">
        <v>253</v>
      </c>
      <c r="G358" s="62" t="s">
        <v>252</v>
      </c>
      <c r="J358" s="316"/>
      <c r="K358" s="315">
        <f t="shared" si="87"/>
        <v>0</v>
      </c>
      <c r="L358" s="315">
        <f t="shared" si="87"/>
        <v>0</v>
      </c>
      <c r="M358" s="315">
        <f t="shared" si="87"/>
        <v>0</v>
      </c>
      <c r="N358" s="315">
        <f t="shared" si="87"/>
        <v>319.69556121986091</v>
      </c>
      <c r="O358" s="315">
        <f t="shared" si="87"/>
        <v>29.468858762938101</v>
      </c>
      <c r="P358" s="315">
        <f t="shared" si="87"/>
        <v>851.6203571790702</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25">
      <c r="E359" s="27"/>
      <c r="F359" s="70" t="s">
        <v>254</v>
      </c>
      <c r="G359" s="70" t="s">
        <v>255</v>
      </c>
      <c r="H359" s="28"/>
      <c r="I359" s="28"/>
      <c r="J359" s="71"/>
      <c r="K359" s="90">
        <f t="shared" si="87"/>
        <v>0</v>
      </c>
      <c r="L359" s="90">
        <f t="shared" si="87"/>
        <v>0</v>
      </c>
      <c r="M359" s="90">
        <f t="shared" si="87"/>
        <v>0</v>
      </c>
      <c r="N359" s="90">
        <f t="shared" si="87"/>
        <v>485.368605572511</v>
      </c>
      <c r="O359" s="90">
        <f t="shared" si="87"/>
        <v>244.49102695504459</v>
      </c>
      <c r="P359" s="90">
        <f t="shared" si="87"/>
        <v>4120.6902967102687</v>
      </c>
      <c r="Q359" s="71"/>
      <c r="R359" s="90">
        <f t="shared" si="88"/>
        <v>0</v>
      </c>
      <c r="S359" s="90">
        <f t="shared" si="88"/>
        <v>0</v>
      </c>
      <c r="T359" s="90">
        <f t="shared" si="88"/>
        <v>5024.8064126525887</v>
      </c>
      <c r="U359" s="90">
        <f t="shared" si="88"/>
        <v>0</v>
      </c>
      <c r="V359" s="90">
        <f t="shared" si="88"/>
        <v>1539.6130000000001</v>
      </c>
      <c r="W359" s="90">
        <f t="shared" si="88"/>
        <v>0</v>
      </c>
      <c r="X359" s="90">
        <f t="shared" si="88"/>
        <v>7641.41</v>
      </c>
      <c r="Y359" s="90">
        <f t="shared" si="88"/>
        <v>0</v>
      </c>
      <c r="AQ359" s="3"/>
    </row>
    <row r="360" spans="3:43" x14ac:dyDescent="0.25">
      <c r="AQ360" s="3"/>
    </row>
    <row r="361" spans="3:43" x14ac:dyDescent="0.25">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155</v>
      </c>
      <c r="AQ363" s="3"/>
    </row>
    <row r="364" spans="3:43" x14ac:dyDescent="0.25">
      <c r="E364" s="27"/>
      <c r="F364" s="68" t="s">
        <v>248</v>
      </c>
      <c r="G364" s="68" t="s">
        <v>208</v>
      </c>
      <c r="H364" s="19"/>
      <c r="I364" s="19"/>
      <c r="J364" s="116">
        <f t="shared" ref="J364:J370" si="89">(1 - J315) * J114</f>
        <v>2434.0989934422591</v>
      </c>
      <c r="K364" s="73"/>
      <c r="L364" s="116">
        <f t="shared" ref="L364:L370" si="90">(1 - L315) * L114</f>
        <v>4.7784081500617237</v>
      </c>
      <c r="M364" s="73"/>
      <c r="N364" s="116">
        <f t="shared" ref="N364:Q370" si="91">(1 - N315) * N114</f>
        <v>52.049983581140772</v>
      </c>
      <c r="O364" s="116">
        <f t="shared" si="91"/>
        <v>0</v>
      </c>
      <c r="P364" s="116">
        <f t="shared" si="91"/>
        <v>0</v>
      </c>
      <c r="Q364" s="116">
        <f t="shared" si="91"/>
        <v>0</v>
      </c>
      <c r="R364" s="73"/>
      <c r="S364" s="73"/>
      <c r="T364" s="73"/>
      <c r="U364" s="73"/>
      <c r="V364" s="73"/>
      <c r="W364" s="73"/>
      <c r="X364" s="73"/>
      <c r="Y364" s="73"/>
      <c r="AQ364" s="3"/>
    </row>
    <row r="365" spans="3:43" x14ac:dyDescent="0.25">
      <c r="E365" s="27"/>
      <c r="F365" s="62" t="s">
        <v>249</v>
      </c>
      <c r="G365" s="62" t="s">
        <v>208</v>
      </c>
      <c r="J365" s="315">
        <f t="shared" si="89"/>
        <v>12294.059809002483</v>
      </c>
      <c r="K365" s="316"/>
      <c r="L365" s="315">
        <f t="shared" si="90"/>
        <v>42.810123309643473</v>
      </c>
      <c r="M365" s="316"/>
      <c r="N365" s="315">
        <f t="shared" si="91"/>
        <v>371.69609131525891</v>
      </c>
      <c r="O365" s="315">
        <f t="shared" si="91"/>
        <v>0</v>
      </c>
      <c r="P365" s="315">
        <f t="shared" si="91"/>
        <v>0</v>
      </c>
      <c r="Q365" s="315">
        <f t="shared" si="91"/>
        <v>0</v>
      </c>
      <c r="R365" s="316"/>
      <c r="S365" s="316"/>
      <c r="T365" s="316"/>
      <c r="U365" s="316"/>
      <c r="V365" s="316"/>
      <c r="W365" s="316"/>
      <c r="X365" s="316"/>
      <c r="Y365" s="316"/>
      <c r="AQ365" s="3"/>
    </row>
    <row r="366" spans="3:43" x14ac:dyDescent="0.25">
      <c r="E366" s="27"/>
      <c r="F366" s="62" t="s">
        <v>250</v>
      </c>
      <c r="G366" s="62" t="s">
        <v>208</v>
      </c>
      <c r="J366" s="315">
        <f t="shared" si="89"/>
        <v>12417.681532370165</v>
      </c>
      <c r="K366" s="316"/>
      <c r="L366" s="315">
        <f t="shared" si="90"/>
        <v>31.954738285333907</v>
      </c>
      <c r="M366" s="316"/>
      <c r="N366" s="315">
        <f t="shared" si="91"/>
        <v>363.82882866124112</v>
      </c>
      <c r="O366" s="315">
        <f t="shared" si="91"/>
        <v>0</v>
      </c>
      <c r="P366" s="315">
        <f t="shared" si="91"/>
        <v>0</v>
      </c>
      <c r="Q366" s="315">
        <f t="shared" si="91"/>
        <v>0</v>
      </c>
      <c r="R366" s="316"/>
      <c r="S366" s="316"/>
      <c r="T366" s="316"/>
      <c r="U366" s="316"/>
      <c r="V366" s="316"/>
      <c r="W366" s="316"/>
      <c r="X366" s="316"/>
      <c r="Y366" s="316"/>
      <c r="AQ366" s="3"/>
    </row>
    <row r="367" spans="3:43" x14ac:dyDescent="0.25">
      <c r="E367" s="27"/>
      <c r="F367" s="62" t="s">
        <v>213</v>
      </c>
      <c r="G367" s="62" t="s">
        <v>213</v>
      </c>
      <c r="J367" s="315">
        <f t="shared" si="89"/>
        <v>9063.2986952167194</v>
      </c>
      <c r="K367" s="316"/>
      <c r="L367" s="315">
        <f t="shared" si="90"/>
        <v>88.402785024216811</v>
      </c>
      <c r="M367" s="316"/>
      <c r="N367" s="315">
        <f t="shared" si="91"/>
        <v>14.351763574298987</v>
      </c>
      <c r="O367" s="315">
        <f t="shared" si="91"/>
        <v>0</v>
      </c>
      <c r="P367" s="315">
        <f t="shared" si="91"/>
        <v>0</v>
      </c>
      <c r="Q367" s="315">
        <f t="shared" si="91"/>
        <v>0</v>
      </c>
      <c r="R367" s="316"/>
      <c r="S367" s="316"/>
      <c r="T367" s="316"/>
      <c r="U367" s="316"/>
      <c r="V367" s="316"/>
      <c r="W367" s="316"/>
      <c r="X367" s="316"/>
      <c r="Y367" s="316"/>
      <c r="AQ367" s="3"/>
    </row>
    <row r="368" spans="3:43" x14ac:dyDescent="0.25">
      <c r="E368" s="27"/>
      <c r="F368" s="62" t="s">
        <v>251</v>
      </c>
      <c r="G368" s="62" t="s">
        <v>252</v>
      </c>
      <c r="J368" s="315">
        <f t="shared" si="89"/>
        <v>0</v>
      </c>
      <c r="K368" s="316"/>
      <c r="L368" s="315">
        <f t="shared" si="90"/>
        <v>0</v>
      </c>
      <c r="M368" s="316"/>
      <c r="N368" s="315">
        <f t="shared" si="91"/>
        <v>865.82230054301021</v>
      </c>
      <c r="O368" s="315">
        <f t="shared" si="91"/>
        <v>0</v>
      </c>
      <c r="P368" s="315">
        <f t="shared" si="91"/>
        <v>0</v>
      </c>
      <c r="Q368" s="315">
        <f t="shared" si="91"/>
        <v>0</v>
      </c>
      <c r="R368" s="316"/>
      <c r="S368" s="316"/>
      <c r="T368" s="316"/>
      <c r="U368" s="316"/>
      <c r="V368" s="316"/>
      <c r="W368" s="316"/>
      <c r="X368" s="316"/>
      <c r="Y368" s="316"/>
      <c r="AQ368" s="3"/>
    </row>
    <row r="369" spans="5:43" x14ac:dyDescent="0.25">
      <c r="E369" s="27"/>
      <c r="F369" s="62" t="s">
        <v>253</v>
      </c>
      <c r="G369" s="62" t="s">
        <v>252</v>
      </c>
      <c r="J369" s="315">
        <f t="shared" si="89"/>
        <v>0</v>
      </c>
      <c r="K369" s="316"/>
      <c r="L369" s="315">
        <f t="shared" si="90"/>
        <v>0</v>
      </c>
      <c r="M369" s="316"/>
      <c r="N369" s="315">
        <f t="shared" si="91"/>
        <v>24.583379255845291</v>
      </c>
      <c r="O369" s="315">
        <f t="shared" si="91"/>
        <v>0</v>
      </c>
      <c r="P369" s="315">
        <f t="shared" si="91"/>
        <v>0</v>
      </c>
      <c r="Q369" s="315">
        <f t="shared" si="91"/>
        <v>0</v>
      </c>
      <c r="R369" s="316"/>
      <c r="S369" s="316"/>
      <c r="T369" s="316"/>
      <c r="U369" s="316"/>
      <c r="V369" s="316"/>
      <c r="W369" s="316"/>
      <c r="X369" s="316"/>
      <c r="Y369" s="316"/>
      <c r="AQ369" s="3"/>
    </row>
    <row r="370" spans="5:43" x14ac:dyDescent="0.25">
      <c r="E370" s="27"/>
      <c r="F370" s="70" t="s">
        <v>254</v>
      </c>
      <c r="G370" s="70" t="s">
        <v>255</v>
      </c>
      <c r="H370" s="28"/>
      <c r="I370" s="28"/>
      <c r="J370" s="90">
        <f t="shared" si="89"/>
        <v>0</v>
      </c>
      <c r="K370" s="71"/>
      <c r="L370" s="90">
        <f t="shared" si="90"/>
        <v>0</v>
      </c>
      <c r="M370" s="71"/>
      <c r="N370" s="90">
        <f t="shared" si="91"/>
        <v>122.85348405448651</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155</v>
      </c>
      <c r="AQ372" s="3"/>
    </row>
    <row r="373" spans="5:43" x14ac:dyDescent="0.25">
      <c r="E373" s="27"/>
      <c r="F373" s="68" t="s">
        <v>248</v>
      </c>
      <c r="G373" s="68" t="s">
        <v>208</v>
      </c>
      <c r="H373" s="19"/>
      <c r="I373" s="19"/>
      <c r="J373" s="116">
        <f t="shared" ref="J373:J379" si="92">(1 - J324) * J161</f>
        <v>5289.6665726974179</v>
      </c>
      <c r="K373" s="73"/>
      <c r="L373" s="116">
        <f t="shared" ref="L373:L379" si="93">(1 - L324) * L161</f>
        <v>19.897437658104053</v>
      </c>
      <c r="M373" s="73"/>
      <c r="N373" s="116">
        <f t="shared" ref="N373:Q379" si="94">(1 - N324) * N161</f>
        <v>742.8450496938334</v>
      </c>
      <c r="O373" s="116">
        <f t="shared" si="94"/>
        <v>25.221511897196837</v>
      </c>
      <c r="P373" s="116">
        <f t="shared" si="94"/>
        <v>87.899898227403554</v>
      </c>
      <c r="Q373" s="116">
        <f t="shared" si="94"/>
        <v>0</v>
      </c>
      <c r="R373" s="73"/>
      <c r="S373" s="73"/>
      <c r="T373" s="73"/>
      <c r="U373" s="73"/>
      <c r="V373" s="73"/>
      <c r="W373" s="73"/>
      <c r="X373" s="73"/>
      <c r="Y373" s="73"/>
      <c r="AQ373" s="3"/>
    </row>
    <row r="374" spans="5:43" x14ac:dyDescent="0.25">
      <c r="E374" s="27"/>
      <c r="F374" s="62" t="s">
        <v>249</v>
      </c>
      <c r="G374" s="62" t="s">
        <v>208</v>
      </c>
      <c r="J374" s="315">
        <f t="shared" si="92"/>
        <v>26604.159955334519</v>
      </c>
      <c r="K374" s="316"/>
      <c r="L374" s="315">
        <f t="shared" si="93"/>
        <v>158.98426223612981</v>
      </c>
      <c r="M374" s="316"/>
      <c r="N374" s="315">
        <f t="shared" si="94"/>
        <v>4800.3041978043384</v>
      </c>
      <c r="O374" s="315">
        <f t="shared" si="94"/>
        <v>152.91150965108241</v>
      </c>
      <c r="P374" s="315">
        <f t="shared" si="94"/>
        <v>570.83732470588552</v>
      </c>
      <c r="Q374" s="315">
        <f t="shared" si="94"/>
        <v>0</v>
      </c>
      <c r="R374" s="316"/>
      <c r="S374" s="316"/>
      <c r="T374" s="316"/>
      <c r="U374" s="316"/>
      <c r="V374" s="316"/>
      <c r="W374" s="316"/>
      <c r="X374" s="316"/>
      <c r="Y374" s="316"/>
      <c r="AQ374" s="3"/>
    </row>
    <row r="375" spans="5:43" x14ac:dyDescent="0.25">
      <c r="E375" s="27"/>
      <c r="F375" s="62" t="s">
        <v>250</v>
      </c>
      <c r="G375" s="62" t="s">
        <v>208</v>
      </c>
      <c r="J375" s="315">
        <f t="shared" si="92"/>
        <v>26605.464491247541</v>
      </c>
      <c r="K375" s="316"/>
      <c r="L375" s="315">
        <f t="shared" si="93"/>
        <v>120.44928397153269</v>
      </c>
      <c r="M375" s="316"/>
      <c r="N375" s="315">
        <f t="shared" si="94"/>
        <v>4634.4108670684527</v>
      </c>
      <c r="O375" s="315">
        <f t="shared" si="94"/>
        <v>183.87284355455211</v>
      </c>
      <c r="P375" s="315">
        <f t="shared" si="94"/>
        <v>658.09270686306013</v>
      </c>
      <c r="Q375" s="315">
        <f t="shared" si="94"/>
        <v>0</v>
      </c>
      <c r="R375" s="316"/>
      <c r="S375" s="316"/>
      <c r="T375" s="316"/>
      <c r="U375" s="316"/>
      <c r="V375" s="316"/>
      <c r="W375" s="316"/>
      <c r="X375" s="316"/>
      <c r="Y375" s="316"/>
      <c r="AQ375" s="3"/>
    </row>
    <row r="376" spans="5:43" x14ac:dyDescent="0.25">
      <c r="E376" s="27"/>
      <c r="F376" s="62" t="s">
        <v>213</v>
      </c>
      <c r="G376" s="62" t="s">
        <v>213</v>
      </c>
      <c r="J376" s="315">
        <f t="shared" si="92"/>
        <v>19690.143042969936</v>
      </c>
      <c r="K376" s="316"/>
      <c r="L376" s="315">
        <f t="shared" si="93"/>
        <v>226.67296640824748</v>
      </c>
      <c r="M376" s="316"/>
      <c r="N376" s="315">
        <f t="shared" si="94"/>
        <v>77.257341933616217</v>
      </c>
      <c r="O376" s="315">
        <f t="shared" si="94"/>
        <v>1.4910142258414236</v>
      </c>
      <c r="P376" s="315">
        <f t="shared" si="94"/>
        <v>2.3709011345010622</v>
      </c>
      <c r="Q376" s="315">
        <f t="shared" si="94"/>
        <v>0</v>
      </c>
      <c r="R376" s="316"/>
      <c r="S376" s="316"/>
      <c r="T376" s="316"/>
      <c r="U376" s="316"/>
      <c r="V376" s="316"/>
      <c r="W376" s="316"/>
      <c r="X376" s="316"/>
      <c r="Y376" s="316"/>
      <c r="AQ376" s="3"/>
    </row>
    <row r="377" spans="5:43" x14ac:dyDescent="0.25">
      <c r="E377" s="27"/>
      <c r="F377" s="62" t="s">
        <v>251</v>
      </c>
      <c r="G377" s="62" t="s">
        <v>252</v>
      </c>
      <c r="J377" s="315">
        <f t="shared" si="92"/>
        <v>0</v>
      </c>
      <c r="K377" s="316"/>
      <c r="L377" s="315">
        <f t="shared" si="93"/>
        <v>0</v>
      </c>
      <c r="M377" s="316"/>
      <c r="N377" s="315">
        <f t="shared" si="94"/>
        <v>6617.9892377070173</v>
      </c>
      <c r="O377" s="315">
        <f t="shared" si="94"/>
        <v>240.66784058964711</v>
      </c>
      <c r="P377" s="315">
        <f t="shared" si="94"/>
        <v>1045.2710413833011</v>
      </c>
      <c r="Q377" s="315">
        <f t="shared" si="94"/>
        <v>0</v>
      </c>
      <c r="R377" s="316"/>
      <c r="S377" s="316"/>
      <c r="T377" s="316"/>
      <c r="U377" s="316"/>
      <c r="V377" s="316"/>
      <c r="W377" s="316"/>
      <c r="X377" s="316"/>
      <c r="Y377" s="316"/>
      <c r="AQ377" s="3"/>
    </row>
    <row r="378" spans="5:43" x14ac:dyDescent="0.25">
      <c r="E378" s="27"/>
      <c r="F378" s="62" t="s">
        <v>253</v>
      </c>
      <c r="G378" s="62" t="s">
        <v>252</v>
      </c>
      <c r="J378" s="315">
        <f t="shared" si="92"/>
        <v>0</v>
      </c>
      <c r="K378" s="316"/>
      <c r="L378" s="315">
        <f t="shared" si="93"/>
        <v>0</v>
      </c>
      <c r="M378" s="316"/>
      <c r="N378" s="315">
        <f t="shared" si="94"/>
        <v>43.607589400896146</v>
      </c>
      <c r="O378" s="315">
        <f t="shared" si="94"/>
        <v>0</v>
      </c>
      <c r="P378" s="315">
        <f t="shared" si="94"/>
        <v>0</v>
      </c>
      <c r="Q378" s="315">
        <f t="shared" si="94"/>
        <v>0</v>
      </c>
      <c r="R378" s="316"/>
      <c r="S378" s="316"/>
      <c r="T378" s="316"/>
      <c r="U378" s="316"/>
      <c r="V378" s="316"/>
      <c r="W378" s="316"/>
      <c r="X378" s="316"/>
      <c r="Y378" s="316"/>
      <c r="AQ378" s="3"/>
    </row>
    <row r="379" spans="5:43" x14ac:dyDescent="0.25">
      <c r="E379" s="27"/>
      <c r="F379" s="70" t="s">
        <v>254</v>
      </c>
      <c r="G379" s="70" t="s">
        <v>255</v>
      </c>
      <c r="H379" s="28"/>
      <c r="I379" s="28"/>
      <c r="J379" s="90">
        <f t="shared" si="92"/>
        <v>0</v>
      </c>
      <c r="K379" s="71"/>
      <c r="L379" s="90">
        <f t="shared" si="93"/>
        <v>0</v>
      </c>
      <c r="M379" s="71"/>
      <c r="N379" s="90">
        <f t="shared" si="94"/>
        <v>331.70491876524324</v>
      </c>
      <c r="O379" s="90">
        <f t="shared" si="94"/>
        <v>7.0866043742844838</v>
      </c>
      <c r="P379" s="90">
        <f t="shared" si="94"/>
        <v>37.023447570047161</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155</v>
      </c>
      <c r="AQ381" s="3"/>
    </row>
    <row r="382" spans="5:43" x14ac:dyDescent="0.25">
      <c r="E382" s="27"/>
      <c r="F382" s="68" t="s">
        <v>248</v>
      </c>
      <c r="G382" s="68" t="s">
        <v>208</v>
      </c>
      <c r="H382" s="19"/>
      <c r="I382" s="19"/>
      <c r="J382" s="116">
        <f t="shared" ref="J382:J388" si="95">J67+J364+J373</f>
        <v>428149.96695391025</v>
      </c>
      <c r="K382" s="73"/>
      <c r="L382" s="116">
        <f t="shared" ref="L382:L388" si="96">L67+L364+L373</f>
        <v>5235.0466934216884</v>
      </c>
      <c r="M382" s="73"/>
      <c r="N382" s="116">
        <f t="shared" ref="N382:Q388" si="97">N67+N364+N373</f>
        <v>26495.064417118472</v>
      </c>
      <c r="O382" s="116">
        <f t="shared" si="97"/>
        <v>2585.7970480219956</v>
      </c>
      <c r="P382" s="116">
        <f t="shared" si="97"/>
        <v>11897.763654976701</v>
      </c>
      <c r="Q382" s="116">
        <f t="shared" si="97"/>
        <v>3026.8327703338973</v>
      </c>
      <c r="R382" s="73"/>
      <c r="S382" s="73"/>
      <c r="T382" s="73"/>
      <c r="U382" s="73"/>
      <c r="V382" s="73"/>
      <c r="W382" s="73"/>
      <c r="X382" s="73"/>
      <c r="Y382" s="73"/>
      <c r="AQ382" s="3"/>
    </row>
    <row r="383" spans="5:43" x14ac:dyDescent="0.25">
      <c r="E383" s="27"/>
      <c r="F383" s="62" t="s">
        <v>249</v>
      </c>
      <c r="G383" s="62" t="s">
        <v>208</v>
      </c>
      <c r="J383" s="315">
        <f t="shared" si="95"/>
        <v>2239763.2669037757</v>
      </c>
      <c r="K383" s="316"/>
      <c r="L383" s="315">
        <f t="shared" si="96"/>
        <v>41781.069880614392</v>
      </c>
      <c r="M383" s="316"/>
      <c r="N383" s="315">
        <f t="shared" si="97"/>
        <v>190588.40166186271</v>
      </c>
      <c r="O383" s="315">
        <f t="shared" si="97"/>
        <v>18947.187499624615</v>
      </c>
      <c r="P383" s="315">
        <f t="shared" si="97"/>
        <v>82610.091150289431</v>
      </c>
      <c r="Q383" s="315">
        <f t="shared" si="97"/>
        <v>28127.672923672086</v>
      </c>
      <c r="R383" s="316"/>
      <c r="S383" s="316"/>
      <c r="T383" s="316"/>
      <c r="U383" s="316"/>
      <c r="V383" s="316"/>
      <c r="W383" s="316"/>
      <c r="X383" s="316"/>
      <c r="Y383" s="316"/>
      <c r="AQ383" s="3"/>
    </row>
    <row r="384" spans="5:43" x14ac:dyDescent="0.25">
      <c r="E384" s="27"/>
      <c r="F384" s="62" t="s">
        <v>250</v>
      </c>
      <c r="G384" s="62" t="s">
        <v>208</v>
      </c>
      <c r="J384" s="315">
        <f t="shared" si="95"/>
        <v>2506644.8271904094</v>
      </c>
      <c r="K384" s="316"/>
      <c r="L384" s="315">
        <f t="shared" si="96"/>
        <v>35598.7951094581</v>
      </c>
      <c r="M384" s="316"/>
      <c r="N384" s="315">
        <f t="shared" si="97"/>
        <v>169992.30268842934</v>
      </c>
      <c r="O384" s="315">
        <f t="shared" si="97"/>
        <v>18732.700905477155</v>
      </c>
      <c r="P384" s="315">
        <f t="shared" si="97"/>
        <v>94016.820021513209</v>
      </c>
      <c r="Q384" s="315">
        <f t="shared" si="97"/>
        <v>69645.577244407395</v>
      </c>
      <c r="R384" s="316"/>
      <c r="S384" s="316"/>
      <c r="T384" s="316"/>
      <c r="U384" s="316"/>
      <c r="V384" s="316"/>
      <c r="W384" s="316"/>
      <c r="X384" s="316"/>
      <c r="Y384" s="316"/>
      <c r="AQ384" s="3"/>
    </row>
    <row r="385" spans="3:43" x14ac:dyDescent="0.25">
      <c r="E385" s="27"/>
      <c r="F385" s="62" t="s">
        <v>213</v>
      </c>
      <c r="G385" s="62" t="s">
        <v>213</v>
      </c>
      <c r="J385" s="315">
        <f t="shared" si="95"/>
        <v>1535048.510066451</v>
      </c>
      <c r="K385" s="316"/>
      <c r="L385" s="315">
        <f t="shared" si="96"/>
        <v>65554.202849239358</v>
      </c>
      <c r="M385" s="316"/>
      <c r="N385" s="315">
        <f t="shared" si="97"/>
        <v>4025.3263737509701</v>
      </c>
      <c r="O385" s="315">
        <f t="shared" si="97"/>
        <v>344.10867093316392</v>
      </c>
      <c r="P385" s="315">
        <f t="shared" si="97"/>
        <v>324.56593594261994</v>
      </c>
      <c r="Q385" s="315">
        <f t="shared" si="97"/>
        <v>2539</v>
      </c>
      <c r="R385" s="316"/>
      <c r="S385" s="316"/>
      <c r="T385" s="316"/>
      <c r="U385" s="316"/>
      <c r="V385" s="316"/>
      <c r="W385" s="316"/>
      <c r="X385" s="316"/>
      <c r="Y385" s="316"/>
      <c r="AQ385" s="3"/>
    </row>
    <row r="386" spans="3:43" x14ac:dyDescent="0.25">
      <c r="E386" s="27"/>
      <c r="F386" s="62" t="s">
        <v>251</v>
      </c>
      <c r="G386" s="62" t="s">
        <v>252</v>
      </c>
      <c r="J386" s="315">
        <f t="shared" si="95"/>
        <v>0</v>
      </c>
      <c r="K386" s="316"/>
      <c r="L386" s="315">
        <f t="shared" si="96"/>
        <v>0</v>
      </c>
      <c r="M386" s="316"/>
      <c r="N386" s="315">
        <f t="shared" si="97"/>
        <v>189615.2392912439</v>
      </c>
      <c r="O386" s="315">
        <f t="shared" si="97"/>
        <v>19727.153727609912</v>
      </c>
      <c r="P386" s="315">
        <f t="shared" si="97"/>
        <v>81352.508270796854</v>
      </c>
      <c r="Q386" s="315">
        <f t="shared" si="97"/>
        <v>0</v>
      </c>
      <c r="R386" s="316"/>
      <c r="S386" s="316"/>
      <c r="T386" s="316"/>
      <c r="U386" s="316"/>
      <c r="V386" s="316"/>
      <c r="W386" s="316"/>
      <c r="X386" s="316"/>
      <c r="Y386" s="316"/>
      <c r="AQ386" s="3"/>
    </row>
    <row r="387" spans="3:43" x14ac:dyDescent="0.25">
      <c r="E387" s="27"/>
      <c r="F387" s="62" t="s">
        <v>253</v>
      </c>
      <c r="G387" s="62" t="s">
        <v>252</v>
      </c>
      <c r="J387" s="315">
        <f t="shared" si="95"/>
        <v>0</v>
      </c>
      <c r="K387" s="316"/>
      <c r="L387" s="315">
        <f t="shared" si="96"/>
        <v>0</v>
      </c>
      <c r="M387" s="316"/>
      <c r="N387" s="315">
        <f t="shared" si="97"/>
        <v>17303.808705338859</v>
      </c>
      <c r="O387" s="315">
        <f t="shared" si="97"/>
        <v>1667.9217436686849</v>
      </c>
      <c r="P387" s="315">
        <f t="shared" si="97"/>
        <v>2169.057862955141</v>
      </c>
      <c r="Q387" s="315">
        <f t="shared" si="97"/>
        <v>0</v>
      </c>
      <c r="R387" s="316"/>
      <c r="S387" s="316"/>
      <c r="T387" s="316"/>
      <c r="U387" s="316"/>
      <c r="V387" s="316"/>
      <c r="W387" s="316"/>
      <c r="X387" s="316"/>
      <c r="Y387" s="316"/>
      <c r="AQ387" s="3"/>
    </row>
    <row r="388" spans="3:43" x14ac:dyDescent="0.25">
      <c r="E388" s="27"/>
      <c r="F388" s="70" t="s">
        <v>254</v>
      </c>
      <c r="G388" s="70" t="s">
        <v>255</v>
      </c>
      <c r="H388" s="28"/>
      <c r="I388" s="28"/>
      <c r="J388" s="90">
        <f t="shared" si="95"/>
        <v>0</v>
      </c>
      <c r="K388" s="71"/>
      <c r="L388" s="90">
        <f t="shared" si="96"/>
        <v>0</v>
      </c>
      <c r="M388" s="71"/>
      <c r="N388" s="90">
        <f t="shared" si="97"/>
        <v>30358.950582424444</v>
      </c>
      <c r="O388" s="90">
        <f t="shared" si="97"/>
        <v>5400.3002571836423</v>
      </c>
      <c r="P388" s="90">
        <f t="shared" si="97"/>
        <v>17082.861941525363</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155</v>
      </c>
      <c r="AQ392" s="3"/>
    </row>
    <row r="393" spans="3:43" x14ac:dyDescent="0.25">
      <c r="E393" s="27"/>
      <c r="F393" s="68" t="s">
        <v>248</v>
      </c>
      <c r="G393" s="68" t="s">
        <v>208</v>
      </c>
      <c r="H393" s="19"/>
      <c r="I393" s="19"/>
      <c r="J393" s="73"/>
      <c r="K393" s="73"/>
      <c r="L393" s="116">
        <f t="shared" ref="L393:L399" si="98">(1 - L315) * L123</f>
        <v>19.113706052460099</v>
      </c>
      <c r="M393" s="73"/>
      <c r="N393" s="116">
        <f t="shared" ref="N393:P399" si="99">(1 - N315) * N123</f>
        <v>59.768742274203085</v>
      </c>
      <c r="O393" s="116">
        <f t="shared" si="99"/>
        <v>0</v>
      </c>
      <c r="P393" s="116">
        <f t="shared" si="99"/>
        <v>0</v>
      </c>
      <c r="Q393" s="73"/>
      <c r="R393" s="73"/>
      <c r="S393" s="73"/>
      <c r="T393" s="73"/>
      <c r="U393" s="73"/>
      <c r="V393" s="73"/>
      <c r="W393" s="73"/>
      <c r="X393" s="73"/>
      <c r="Y393" s="73"/>
      <c r="AQ393" s="3"/>
    </row>
    <row r="394" spans="3:43" x14ac:dyDescent="0.25">
      <c r="E394" s="27"/>
      <c r="F394" s="62" t="s">
        <v>249</v>
      </c>
      <c r="G394" s="62" t="s">
        <v>208</v>
      </c>
      <c r="J394" s="316"/>
      <c r="K394" s="316"/>
      <c r="L394" s="315">
        <f t="shared" si="98"/>
        <v>171.24115130255788</v>
      </c>
      <c r="M394" s="316"/>
      <c r="N394" s="315">
        <f t="shared" si="99"/>
        <v>426.81680872229521</v>
      </c>
      <c r="O394" s="315">
        <f t="shared" si="99"/>
        <v>0</v>
      </c>
      <c r="P394" s="315">
        <f t="shared" si="99"/>
        <v>0</v>
      </c>
      <c r="Q394" s="316"/>
      <c r="R394" s="316"/>
      <c r="S394" s="316"/>
      <c r="T394" s="316"/>
      <c r="U394" s="316"/>
      <c r="V394" s="316"/>
      <c r="W394" s="316"/>
      <c r="X394" s="316"/>
      <c r="Y394" s="316"/>
      <c r="AQ394" s="3"/>
    </row>
    <row r="395" spans="3:43" x14ac:dyDescent="0.25">
      <c r="E395" s="27"/>
      <c r="F395" s="62" t="s">
        <v>250</v>
      </c>
      <c r="G395" s="62" t="s">
        <v>208</v>
      </c>
      <c r="J395" s="316"/>
      <c r="K395" s="316"/>
      <c r="L395" s="315">
        <f t="shared" si="98"/>
        <v>127.81944433969616</v>
      </c>
      <c r="M395" s="316"/>
      <c r="N395" s="315">
        <f t="shared" si="99"/>
        <v>417.78286938899191</v>
      </c>
      <c r="O395" s="315">
        <f t="shared" si="99"/>
        <v>0</v>
      </c>
      <c r="P395" s="315">
        <f t="shared" si="99"/>
        <v>0</v>
      </c>
      <c r="Q395" s="316"/>
      <c r="R395" s="316"/>
      <c r="S395" s="316"/>
      <c r="T395" s="316"/>
      <c r="U395" s="316"/>
      <c r="V395" s="316"/>
      <c r="W395" s="316"/>
      <c r="X395" s="316"/>
      <c r="Y395" s="316"/>
      <c r="AQ395" s="3"/>
    </row>
    <row r="396" spans="3:43" x14ac:dyDescent="0.25">
      <c r="E396" s="27"/>
      <c r="F396" s="62" t="s">
        <v>213</v>
      </c>
      <c r="G396" s="62" t="s">
        <v>213</v>
      </c>
      <c r="J396" s="316"/>
      <c r="K396" s="316"/>
      <c r="L396" s="315">
        <f t="shared" si="98"/>
        <v>59.922279634993359</v>
      </c>
      <c r="M396" s="316"/>
      <c r="N396" s="315">
        <f t="shared" si="99"/>
        <v>9.2137517608471526</v>
      </c>
      <c r="O396" s="315">
        <f t="shared" si="99"/>
        <v>0</v>
      </c>
      <c r="P396" s="315">
        <f t="shared" si="99"/>
        <v>0</v>
      </c>
      <c r="Q396" s="316"/>
      <c r="R396" s="316"/>
      <c r="S396" s="316"/>
      <c r="T396" s="316"/>
      <c r="U396" s="316"/>
      <c r="V396" s="316"/>
      <c r="W396" s="316"/>
      <c r="X396" s="316"/>
      <c r="Y396" s="316"/>
      <c r="AQ396" s="3"/>
    </row>
    <row r="397" spans="3:43" x14ac:dyDescent="0.25">
      <c r="E397" s="27"/>
      <c r="F397" s="62" t="s">
        <v>251</v>
      </c>
      <c r="G397" s="62" t="s">
        <v>252</v>
      </c>
      <c r="J397" s="316"/>
      <c r="K397" s="316"/>
      <c r="L397" s="315">
        <f t="shared" si="98"/>
        <v>0</v>
      </c>
      <c r="M397" s="316"/>
      <c r="N397" s="315">
        <f t="shared" si="99"/>
        <v>1366.9717829531285</v>
      </c>
      <c r="O397" s="315">
        <f t="shared" si="99"/>
        <v>0</v>
      </c>
      <c r="P397" s="315">
        <f t="shared" si="99"/>
        <v>0</v>
      </c>
      <c r="Q397" s="316"/>
      <c r="R397" s="316"/>
      <c r="S397" s="316"/>
      <c r="T397" s="316"/>
      <c r="U397" s="316"/>
      <c r="V397" s="316"/>
      <c r="W397" s="316"/>
      <c r="X397" s="316"/>
      <c r="Y397" s="316"/>
      <c r="AQ397" s="3"/>
    </row>
    <row r="398" spans="3:43" x14ac:dyDescent="0.25">
      <c r="E398" s="27"/>
      <c r="F398" s="62" t="s">
        <v>253</v>
      </c>
      <c r="G398" s="62" t="s">
        <v>252</v>
      </c>
      <c r="J398" s="316"/>
      <c r="K398" s="316"/>
      <c r="L398" s="315">
        <f t="shared" si="98"/>
        <v>0</v>
      </c>
      <c r="M398" s="316"/>
      <c r="N398" s="315">
        <f t="shared" si="99"/>
        <v>3.2412269716235027</v>
      </c>
      <c r="O398" s="315">
        <f t="shared" si="99"/>
        <v>0</v>
      </c>
      <c r="P398" s="315">
        <f t="shared" si="99"/>
        <v>0</v>
      </c>
      <c r="Q398" s="316"/>
      <c r="R398" s="316"/>
      <c r="S398" s="316"/>
      <c r="T398" s="316"/>
      <c r="U398" s="316"/>
      <c r="V398" s="316"/>
      <c r="W398" s="316"/>
      <c r="X398" s="316"/>
      <c r="Y398" s="316"/>
      <c r="AQ398" s="3"/>
    </row>
    <row r="399" spans="3:43" x14ac:dyDescent="0.25">
      <c r="E399" s="27"/>
      <c r="F399" s="70" t="s">
        <v>254</v>
      </c>
      <c r="G399" s="70" t="s">
        <v>255</v>
      </c>
      <c r="H399" s="28"/>
      <c r="I399" s="28"/>
      <c r="J399" s="71"/>
      <c r="K399" s="71"/>
      <c r="L399" s="90">
        <f t="shared" si="98"/>
        <v>0</v>
      </c>
      <c r="M399" s="71"/>
      <c r="N399" s="90">
        <f t="shared" si="99"/>
        <v>131.30699541039374</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155</v>
      </c>
      <c r="AQ401" s="3"/>
    </row>
    <row r="402" spans="5:43" x14ac:dyDescent="0.25">
      <c r="E402" s="27"/>
      <c r="F402" s="68" t="s">
        <v>248</v>
      </c>
      <c r="G402" s="68" t="s">
        <v>208</v>
      </c>
      <c r="H402" s="19"/>
      <c r="I402" s="19"/>
      <c r="J402" s="73"/>
      <c r="K402" s="73"/>
      <c r="L402" s="116">
        <f t="shared" ref="L402:L408" si="100">(1 - L324) * L170</f>
        <v>79.590056489678133</v>
      </c>
      <c r="M402" s="73"/>
      <c r="N402" s="116">
        <f t="shared" ref="N402:P408" si="101">(1 - N324) * N170</f>
        <v>853.00534736201769</v>
      </c>
      <c r="O402" s="116">
        <f t="shared" si="101"/>
        <v>61.891525818276229</v>
      </c>
      <c r="P402" s="116">
        <f t="shared" si="101"/>
        <v>270.43830955871243</v>
      </c>
      <c r="Q402" s="73"/>
      <c r="R402" s="73"/>
      <c r="S402" s="73"/>
      <c r="T402" s="73"/>
      <c r="U402" s="73"/>
      <c r="V402" s="73"/>
      <c r="W402" s="73"/>
      <c r="X402" s="73"/>
      <c r="Y402" s="73"/>
      <c r="AQ402" s="3"/>
    </row>
    <row r="403" spans="5:43" x14ac:dyDescent="0.25">
      <c r="E403" s="27"/>
      <c r="F403" s="62" t="s">
        <v>249</v>
      </c>
      <c r="G403" s="62" t="s">
        <v>208</v>
      </c>
      <c r="J403" s="316"/>
      <c r="K403" s="316"/>
      <c r="L403" s="315">
        <f t="shared" si="100"/>
        <v>635.93949280146035</v>
      </c>
      <c r="M403" s="316"/>
      <c r="N403" s="315">
        <f t="shared" si="101"/>
        <v>5512.165897018609</v>
      </c>
      <c r="O403" s="315">
        <f t="shared" si="101"/>
        <v>375.23232889672232</v>
      </c>
      <c r="P403" s="315">
        <f t="shared" si="101"/>
        <v>1756.2737186235938</v>
      </c>
      <c r="Q403" s="316"/>
      <c r="R403" s="316"/>
      <c r="S403" s="316"/>
      <c r="T403" s="316"/>
      <c r="U403" s="316"/>
      <c r="V403" s="316"/>
      <c r="W403" s="316"/>
      <c r="X403" s="316"/>
      <c r="Y403" s="316"/>
      <c r="AQ403" s="3"/>
    </row>
    <row r="404" spans="5:43" x14ac:dyDescent="0.25">
      <c r="E404" s="27"/>
      <c r="F404" s="62" t="s">
        <v>250</v>
      </c>
      <c r="G404" s="62" t="s">
        <v>208</v>
      </c>
      <c r="J404" s="316"/>
      <c r="K404" s="316"/>
      <c r="L404" s="315">
        <f t="shared" si="100"/>
        <v>481.79898739529614</v>
      </c>
      <c r="M404" s="316"/>
      <c r="N404" s="315">
        <f t="shared" si="101"/>
        <v>5321.6713944736566</v>
      </c>
      <c r="O404" s="315">
        <f t="shared" si="101"/>
        <v>451.20890811471293</v>
      </c>
      <c r="P404" s="315">
        <f t="shared" si="101"/>
        <v>2024.7290698395648</v>
      </c>
      <c r="Q404" s="316"/>
      <c r="R404" s="316"/>
      <c r="S404" s="316"/>
      <c r="T404" s="316"/>
      <c r="U404" s="316"/>
      <c r="V404" s="316"/>
      <c r="W404" s="316"/>
      <c r="X404" s="316"/>
      <c r="Y404" s="316"/>
      <c r="AQ404" s="3"/>
    </row>
    <row r="405" spans="5:43" x14ac:dyDescent="0.25">
      <c r="E405" s="27"/>
      <c r="F405" s="62" t="s">
        <v>213</v>
      </c>
      <c r="G405" s="62" t="s">
        <v>213</v>
      </c>
      <c r="J405" s="316"/>
      <c r="K405" s="316"/>
      <c r="L405" s="315">
        <f t="shared" si="100"/>
        <v>153.64630056720091</v>
      </c>
      <c r="M405" s="316"/>
      <c r="N405" s="315">
        <f t="shared" si="101"/>
        <v>49.598780428209267</v>
      </c>
      <c r="O405" s="315">
        <f t="shared" si="101"/>
        <v>2.0236412372143509</v>
      </c>
      <c r="P405" s="315">
        <f t="shared" si="101"/>
        <v>2.947081426409599</v>
      </c>
      <c r="Q405" s="316"/>
      <c r="R405" s="316"/>
      <c r="S405" s="316"/>
      <c r="T405" s="316"/>
      <c r="U405" s="316"/>
      <c r="V405" s="316"/>
      <c r="W405" s="316"/>
      <c r="X405" s="316"/>
      <c r="Y405" s="316"/>
      <c r="AQ405" s="3"/>
    </row>
    <row r="406" spans="5:43" x14ac:dyDescent="0.25">
      <c r="E406" s="27"/>
      <c r="F406" s="62" t="s">
        <v>251</v>
      </c>
      <c r="G406" s="62" t="s">
        <v>252</v>
      </c>
      <c r="J406" s="316"/>
      <c r="K406" s="316"/>
      <c r="L406" s="315">
        <f t="shared" si="100"/>
        <v>0</v>
      </c>
      <c r="M406" s="316"/>
      <c r="N406" s="315">
        <f t="shared" si="101"/>
        <v>10448.569576181273</v>
      </c>
      <c r="O406" s="315">
        <f t="shared" si="101"/>
        <v>686.77440415266346</v>
      </c>
      <c r="P406" s="315">
        <f t="shared" si="101"/>
        <v>3527.0074927551277</v>
      </c>
      <c r="Q406" s="316"/>
      <c r="R406" s="316"/>
      <c r="S406" s="316"/>
      <c r="T406" s="316"/>
      <c r="U406" s="316"/>
      <c r="V406" s="316"/>
      <c r="W406" s="316"/>
      <c r="X406" s="316"/>
      <c r="Y406" s="316"/>
      <c r="AQ406" s="3"/>
    </row>
    <row r="407" spans="5:43" x14ac:dyDescent="0.25">
      <c r="E407" s="27"/>
      <c r="F407" s="62" t="s">
        <v>253</v>
      </c>
      <c r="G407" s="62" t="s">
        <v>252</v>
      </c>
      <c r="J407" s="316"/>
      <c r="K407" s="316"/>
      <c r="L407" s="315">
        <f t="shared" si="100"/>
        <v>0</v>
      </c>
      <c r="M407" s="316"/>
      <c r="N407" s="315">
        <f t="shared" si="101"/>
        <v>5.7494982061939366</v>
      </c>
      <c r="O407" s="315">
        <f t="shared" si="101"/>
        <v>0</v>
      </c>
      <c r="P407" s="315">
        <f t="shared" si="101"/>
        <v>0</v>
      </c>
      <c r="Q407" s="316"/>
      <c r="R407" s="316"/>
      <c r="S407" s="316"/>
      <c r="T407" s="316"/>
      <c r="U407" s="316"/>
      <c r="V407" s="316"/>
      <c r="W407" s="316"/>
      <c r="X407" s="316"/>
      <c r="Y407" s="316"/>
      <c r="AQ407" s="3"/>
    </row>
    <row r="408" spans="5:43" x14ac:dyDescent="0.25">
      <c r="E408" s="27"/>
      <c r="F408" s="70" t="s">
        <v>254</v>
      </c>
      <c r="G408" s="70" t="s">
        <v>255</v>
      </c>
      <c r="H408" s="28"/>
      <c r="I408" s="28"/>
      <c r="J408" s="71"/>
      <c r="K408" s="71"/>
      <c r="L408" s="90">
        <f t="shared" si="100"/>
        <v>0</v>
      </c>
      <c r="M408" s="71"/>
      <c r="N408" s="90">
        <f t="shared" si="101"/>
        <v>354.52943464424465</v>
      </c>
      <c r="O408" s="90">
        <f t="shared" si="101"/>
        <v>12.723130842843979</v>
      </c>
      <c r="P408" s="90">
        <f t="shared" si="101"/>
        <v>78.883613400572685</v>
      </c>
      <c r="Q408" s="71"/>
      <c r="R408" s="71"/>
      <c r="S408" s="71"/>
      <c r="T408" s="71"/>
      <c r="U408" s="71"/>
      <c r="V408" s="71"/>
      <c r="W408" s="71"/>
      <c r="X408" s="71"/>
      <c r="Y408" s="71"/>
      <c r="AQ408" s="3"/>
    </row>
    <row r="409" spans="5:43" x14ac:dyDescent="0.25">
      <c r="AQ409" s="3"/>
    </row>
    <row r="410" spans="5:43" x14ac:dyDescent="0.25">
      <c r="E410" s="27" t="s">
        <v>977</v>
      </c>
      <c r="G410" s="12"/>
      <c r="I410" t="s">
        <v>155</v>
      </c>
      <c r="AQ410" s="3"/>
    </row>
    <row r="411" spans="5:43" x14ac:dyDescent="0.25">
      <c r="E411" s="27"/>
      <c r="F411" s="68" t="s">
        <v>248</v>
      </c>
      <c r="G411" s="68" t="s">
        <v>208</v>
      </c>
      <c r="H411" s="19"/>
      <c r="I411" s="19"/>
      <c r="J411" s="73"/>
      <c r="K411" s="73"/>
      <c r="L411" s="116">
        <f t="shared" ref="L411:L417" si="102">L76+L393+L402</f>
        <v>20940.267245206513</v>
      </c>
      <c r="M411" s="73"/>
      <c r="N411" s="116">
        <f t="shared" ref="N411:P417" si="103">N76+N393+N402</f>
        <v>30424.153241403488</v>
      </c>
      <c r="O411" s="116">
        <f t="shared" si="103"/>
        <v>6345.3343086963314</v>
      </c>
      <c r="P411" s="116">
        <f t="shared" si="103"/>
        <v>36605.401772557096</v>
      </c>
      <c r="Q411" s="73"/>
      <c r="R411" s="73"/>
      <c r="S411" s="73"/>
      <c r="T411" s="73"/>
      <c r="U411" s="73"/>
      <c r="V411" s="73"/>
      <c r="W411" s="73"/>
      <c r="X411" s="73"/>
      <c r="Y411" s="73"/>
      <c r="AQ411" s="3"/>
    </row>
    <row r="412" spans="5:43" x14ac:dyDescent="0.25">
      <c r="E412" s="27"/>
      <c r="F412" s="62" t="s">
        <v>249</v>
      </c>
      <c r="G412" s="62" t="s">
        <v>208</v>
      </c>
      <c r="J412" s="316"/>
      <c r="K412" s="316"/>
      <c r="L412" s="315">
        <f t="shared" si="102"/>
        <v>167124.92176815029</v>
      </c>
      <c r="M412" s="316"/>
      <c r="N412" s="315">
        <f t="shared" si="103"/>
        <v>218851.73203988376</v>
      </c>
      <c r="O412" s="315">
        <f t="shared" si="103"/>
        <v>46494.847299264009</v>
      </c>
      <c r="P412" s="315">
        <f t="shared" si="103"/>
        <v>254163.35915859387</v>
      </c>
      <c r="Q412" s="316"/>
      <c r="R412" s="316"/>
      <c r="S412" s="316"/>
      <c r="T412" s="316"/>
      <c r="U412" s="316"/>
      <c r="V412" s="316"/>
      <c r="W412" s="316"/>
      <c r="X412" s="316"/>
      <c r="Y412" s="316"/>
      <c r="AQ412" s="3"/>
    </row>
    <row r="413" spans="5:43" x14ac:dyDescent="0.25">
      <c r="E413" s="27"/>
      <c r="F413" s="62" t="s">
        <v>250</v>
      </c>
      <c r="G413" s="62" t="s">
        <v>208</v>
      </c>
      <c r="J413" s="316"/>
      <c r="K413" s="316"/>
      <c r="L413" s="315">
        <f t="shared" si="102"/>
        <v>142395.72765150815</v>
      </c>
      <c r="M413" s="316"/>
      <c r="N413" s="315">
        <f t="shared" si="103"/>
        <v>195201.33204546099</v>
      </c>
      <c r="O413" s="315">
        <f t="shared" si="103"/>
        <v>45968.514752925774</v>
      </c>
      <c r="P413" s="315">
        <f t="shared" si="103"/>
        <v>289258.0126876306</v>
      </c>
      <c r="Q413" s="316"/>
      <c r="R413" s="316"/>
      <c r="S413" s="316"/>
      <c r="T413" s="316"/>
      <c r="U413" s="316"/>
      <c r="V413" s="316"/>
      <c r="W413" s="316"/>
      <c r="X413" s="316"/>
      <c r="Y413" s="316"/>
      <c r="AQ413" s="3"/>
    </row>
    <row r="414" spans="5:43" x14ac:dyDescent="0.25">
      <c r="E414" s="27"/>
      <c r="F414" s="62" t="s">
        <v>213</v>
      </c>
      <c r="G414" s="62" t="s">
        <v>213</v>
      </c>
      <c r="J414" s="316"/>
      <c r="K414" s="316"/>
      <c r="L414" s="315">
        <f t="shared" si="102"/>
        <v>44434.768353792591</v>
      </c>
      <c r="M414" s="316"/>
      <c r="N414" s="315">
        <f t="shared" si="103"/>
        <v>2584.2369665669521</v>
      </c>
      <c r="O414" s="315">
        <f t="shared" si="103"/>
        <v>467.03276502301753</v>
      </c>
      <c r="P414" s="315">
        <f t="shared" si="103"/>
        <v>403.44248334211352</v>
      </c>
      <c r="Q414" s="316"/>
      <c r="R414" s="316"/>
      <c r="S414" s="316"/>
      <c r="T414" s="316"/>
      <c r="U414" s="316"/>
      <c r="V414" s="316"/>
      <c r="W414" s="316"/>
      <c r="X414" s="316"/>
      <c r="Y414" s="316"/>
      <c r="AQ414" s="3"/>
    </row>
    <row r="415" spans="5:43" x14ac:dyDescent="0.25">
      <c r="E415" s="27"/>
      <c r="F415" s="62" t="s">
        <v>251</v>
      </c>
      <c r="G415" s="62" t="s">
        <v>252</v>
      </c>
      <c r="J415" s="316"/>
      <c r="K415" s="316"/>
      <c r="L415" s="315">
        <f t="shared" si="102"/>
        <v>0</v>
      </c>
      <c r="M415" s="316"/>
      <c r="N415" s="315">
        <f t="shared" si="103"/>
        <v>299367.06592851254</v>
      </c>
      <c r="O415" s="315">
        <f t="shared" si="103"/>
        <v>56293.787378130051</v>
      </c>
      <c r="P415" s="315">
        <f t="shared" si="103"/>
        <v>274503.83189206367</v>
      </c>
      <c r="Q415" s="316"/>
      <c r="R415" s="316"/>
      <c r="S415" s="316"/>
      <c r="T415" s="316"/>
      <c r="U415" s="316"/>
      <c r="V415" s="316"/>
      <c r="W415" s="316"/>
      <c r="X415" s="316"/>
      <c r="Y415" s="316"/>
      <c r="AQ415" s="3"/>
    </row>
    <row r="416" spans="5:43" x14ac:dyDescent="0.25">
      <c r="E416" s="27"/>
      <c r="F416" s="62" t="s">
        <v>253</v>
      </c>
      <c r="G416" s="62" t="s">
        <v>252</v>
      </c>
      <c r="J416" s="316"/>
      <c r="K416" s="316"/>
      <c r="L416" s="315">
        <f t="shared" si="102"/>
        <v>0</v>
      </c>
      <c r="M416" s="316"/>
      <c r="N416" s="315">
        <f t="shared" si="103"/>
        <v>2281.4427139516292</v>
      </c>
      <c r="O416" s="315">
        <f t="shared" si="103"/>
        <v>653.79682996340705</v>
      </c>
      <c r="P416" s="315">
        <f t="shared" si="103"/>
        <v>1457.0461477210777</v>
      </c>
      <c r="Q416" s="316"/>
      <c r="R416" s="316"/>
      <c r="S416" s="316"/>
      <c r="T416" s="316"/>
      <c r="U416" s="316"/>
      <c r="V416" s="316"/>
      <c r="W416" s="316"/>
      <c r="X416" s="316"/>
      <c r="Y416" s="316"/>
      <c r="AQ416" s="3"/>
    </row>
    <row r="417" spans="3:43" x14ac:dyDescent="0.25">
      <c r="E417" s="27"/>
      <c r="F417" s="70" t="s">
        <v>254</v>
      </c>
      <c r="G417" s="70" t="s">
        <v>255</v>
      </c>
      <c r="H417" s="28"/>
      <c r="I417" s="28"/>
      <c r="J417" s="71"/>
      <c r="K417" s="71"/>
      <c r="L417" s="90">
        <f t="shared" si="102"/>
        <v>0</v>
      </c>
      <c r="M417" s="71"/>
      <c r="N417" s="90">
        <f t="shared" si="103"/>
        <v>32447.94085793124</v>
      </c>
      <c r="O417" s="90">
        <f t="shared" si="103"/>
        <v>9695.5781829896223</v>
      </c>
      <c r="P417" s="90">
        <f t="shared" si="103"/>
        <v>36397.417464192331</v>
      </c>
      <c r="Q417" s="71"/>
      <c r="R417" s="71"/>
      <c r="S417" s="71"/>
      <c r="T417" s="71"/>
      <c r="U417" s="71"/>
      <c r="V417" s="71"/>
      <c r="W417" s="71"/>
      <c r="X417" s="71"/>
      <c r="Y417" s="71"/>
      <c r="AQ417" s="3"/>
    </row>
    <row r="418" spans="3:43" x14ac:dyDescent="0.25">
      <c r="AQ418" s="3"/>
    </row>
    <row r="419" spans="3:43" x14ac:dyDescent="0.25">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155</v>
      </c>
      <c r="AQ421" s="3"/>
    </row>
    <row r="422" spans="3:43" x14ac:dyDescent="0.25">
      <c r="E422" s="27"/>
      <c r="F422" s="68" t="s">
        <v>248</v>
      </c>
      <c r="G422" s="68" t="s">
        <v>208</v>
      </c>
      <c r="H422" s="19"/>
      <c r="I422" s="19"/>
      <c r="J422" s="73"/>
      <c r="K422" s="73"/>
      <c r="L422" s="116">
        <f t="shared" ref="L422:L428" si="104">(1 - L315) * L132</f>
        <v>18.825615101084491</v>
      </c>
      <c r="M422" s="73"/>
      <c r="N422" s="116">
        <f t="shared" ref="N422:P428" si="105">(1 - N315) * N132</f>
        <v>29.848357026833931</v>
      </c>
      <c r="O422" s="116">
        <f t="shared" si="105"/>
        <v>0</v>
      </c>
      <c r="P422" s="116">
        <f t="shared" si="105"/>
        <v>0</v>
      </c>
      <c r="Q422" s="73"/>
      <c r="R422" s="73"/>
      <c r="S422" s="73"/>
      <c r="T422" s="73"/>
      <c r="U422" s="73"/>
      <c r="V422" s="73"/>
      <c r="W422" s="73"/>
      <c r="X422" s="73"/>
      <c r="Y422" s="73"/>
      <c r="AQ422" s="3"/>
    </row>
    <row r="423" spans="3:43" x14ac:dyDescent="0.25">
      <c r="E423" s="27"/>
      <c r="F423" s="62" t="s">
        <v>249</v>
      </c>
      <c r="G423" s="62" t="s">
        <v>208</v>
      </c>
      <c r="J423" s="316"/>
      <c r="K423" s="316"/>
      <c r="L423" s="315">
        <f t="shared" si="104"/>
        <v>168.6601224817731</v>
      </c>
      <c r="M423" s="316"/>
      <c r="N423" s="315">
        <f t="shared" si="105"/>
        <v>213.15122264661736</v>
      </c>
      <c r="O423" s="315">
        <f t="shared" si="105"/>
        <v>0</v>
      </c>
      <c r="P423" s="315">
        <f t="shared" si="105"/>
        <v>0</v>
      </c>
      <c r="Q423" s="316"/>
      <c r="R423" s="316"/>
      <c r="S423" s="316"/>
      <c r="T423" s="316"/>
      <c r="U423" s="316"/>
      <c r="V423" s="316"/>
      <c r="W423" s="316"/>
      <c r="X423" s="316"/>
      <c r="Y423" s="316"/>
      <c r="AQ423" s="3"/>
    </row>
    <row r="424" spans="3:43" x14ac:dyDescent="0.25">
      <c r="E424" s="27"/>
      <c r="F424" s="62" t="s">
        <v>250</v>
      </c>
      <c r="G424" s="62" t="s">
        <v>208</v>
      </c>
      <c r="J424" s="316"/>
      <c r="K424" s="316"/>
      <c r="L424" s="315">
        <f t="shared" si="104"/>
        <v>125.89288832679858</v>
      </c>
      <c r="M424" s="316"/>
      <c r="N424" s="315">
        <f t="shared" si="105"/>
        <v>208.63969644882454</v>
      </c>
      <c r="O424" s="315">
        <f t="shared" si="105"/>
        <v>0</v>
      </c>
      <c r="P424" s="315">
        <f t="shared" si="105"/>
        <v>0</v>
      </c>
      <c r="Q424" s="316"/>
      <c r="R424" s="316"/>
      <c r="S424" s="316"/>
      <c r="T424" s="316"/>
      <c r="U424" s="316"/>
      <c r="V424" s="316"/>
      <c r="W424" s="316"/>
      <c r="X424" s="316"/>
      <c r="Y424" s="316"/>
      <c r="AQ424" s="3"/>
    </row>
    <row r="425" spans="3:43" x14ac:dyDescent="0.25">
      <c r="E425" s="27"/>
      <c r="F425" s="62" t="s">
        <v>213</v>
      </c>
      <c r="G425" s="62" t="s">
        <v>213</v>
      </c>
      <c r="J425" s="316"/>
      <c r="K425" s="316"/>
      <c r="L425" s="315">
        <f t="shared" si="104"/>
        <v>24.60255770400417</v>
      </c>
      <c r="M425" s="316"/>
      <c r="N425" s="315">
        <f t="shared" si="105"/>
        <v>3.0667837241763403</v>
      </c>
      <c r="O425" s="315">
        <f t="shared" si="105"/>
        <v>0</v>
      </c>
      <c r="P425" s="315">
        <f t="shared" si="105"/>
        <v>0</v>
      </c>
      <c r="Q425" s="316"/>
      <c r="R425" s="316"/>
      <c r="S425" s="316"/>
      <c r="T425" s="316"/>
      <c r="U425" s="316"/>
      <c r="V425" s="316"/>
      <c r="W425" s="316"/>
      <c r="X425" s="316"/>
      <c r="Y425" s="316"/>
      <c r="AQ425" s="3"/>
    </row>
    <row r="426" spans="3:43" x14ac:dyDescent="0.25">
      <c r="E426" s="27"/>
      <c r="F426" s="62" t="s">
        <v>251</v>
      </c>
      <c r="G426" s="62" t="s">
        <v>252</v>
      </c>
      <c r="J426" s="316"/>
      <c r="K426" s="316"/>
      <c r="L426" s="315">
        <f t="shared" si="104"/>
        <v>0</v>
      </c>
      <c r="M426" s="316"/>
      <c r="N426" s="315">
        <f t="shared" si="105"/>
        <v>736.25412798470359</v>
      </c>
      <c r="O426" s="315">
        <f t="shared" si="105"/>
        <v>0</v>
      </c>
      <c r="P426" s="315">
        <f t="shared" si="105"/>
        <v>0</v>
      </c>
      <c r="Q426" s="316"/>
      <c r="R426" s="316"/>
      <c r="S426" s="316"/>
      <c r="T426" s="316"/>
      <c r="U426" s="316"/>
      <c r="V426" s="316"/>
      <c r="W426" s="316"/>
      <c r="X426" s="316"/>
      <c r="Y426" s="316"/>
      <c r="AQ426" s="3"/>
    </row>
    <row r="427" spans="3:43" x14ac:dyDescent="0.25">
      <c r="E427" s="27"/>
      <c r="F427" s="62" t="s">
        <v>253</v>
      </c>
      <c r="G427" s="62" t="s">
        <v>252</v>
      </c>
      <c r="J427" s="316"/>
      <c r="K427" s="316"/>
      <c r="L427" s="315">
        <f t="shared" si="104"/>
        <v>0</v>
      </c>
      <c r="M427" s="316"/>
      <c r="N427" s="315">
        <f t="shared" si="105"/>
        <v>0.77725698149473965</v>
      </c>
      <c r="O427" s="315">
        <f t="shared" si="105"/>
        <v>0</v>
      </c>
      <c r="P427" s="315">
        <f t="shared" si="105"/>
        <v>0</v>
      </c>
      <c r="Q427" s="316"/>
      <c r="R427" s="316"/>
      <c r="S427" s="316"/>
      <c r="T427" s="316"/>
      <c r="U427" s="316"/>
      <c r="V427" s="316"/>
      <c r="W427" s="316"/>
      <c r="X427" s="316"/>
      <c r="Y427" s="316"/>
      <c r="AQ427" s="3"/>
    </row>
    <row r="428" spans="3:43" x14ac:dyDescent="0.25">
      <c r="E428" s="27"/>
      <c r="F428" s="70" t="s">
        <v>254</v>
      </c>
      <c r="G428" s="70" t="s">
        <v>255</v>
      </c>
      <c r="H428" s="28"/>
      <c r="I428" s="28"/>
      <c r="J428" s="71"/>
      <c r="K428" s="71"/>
      <c r="L428" s="90">
        <f t="shared" si="104"/>
        <v>0</v>
      </c>
      <c r="M428" s="71"/>
      <c r="N428" s="90">
        <f t="shared" si="105"/>
        <v>72.380710559080526</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155</v>
      </c>
      <c r="AQ430" s="3"/>
    </row>
    <row r="431" spans="3:43" x14ac:dyDescent="0.25">
      <c r="E431" s="27"/>
      <c r="F431" s="68" t="s">
        <v>248</v>
      </c>
      <c r="G431" s="68" t="s">
        <v>208</v>
      </c>
      <c r="H431" s="19"/>
      <c r="I431" s="19"/>
      <c r="J431" s="73"/>
      <c r="K431" s="73"/>
      <c r="L431" s="116">
        <f t="shared" ref="L431:L437" si="106">(1 - L324) * L179</f>
        <v>78.390436958477977</v>
      </c>
      <c r="M431" s="73"/>
      <c r="N431" s="116">
        <f t="shared" ref="N431:P437" si="107">(1 - N324) * N179</f>
        <v>425.98868882086532</v>
      </c>
      <c r="O431" s="116">
        <f t="shared" si="107"/>
        <v>63.37539327941527</v>
      </c>
      <c r="P431" s="116">
        <f t="shared" si="107"/>
        <v>184.7665064233822</v>
      </c>
      <c r="Q431" s="73"/>
      <c r="R431" s="73"/>
      <c r="S431" s="73"/>
      <c r="T431" s="73"/>
      <c r="U431" s="73"/>
      <c r="V431" s="73"/>
      <c r="W431" s="73"/>
      <c r="X431" s="73"/>
      <c r="Y431" s="73"/>
      <c r="AQ431" s="3"/>
    </row>
    <row r="432" spans="3:43" x14ac:dyDescent="0.25">
      <c r="E432" s="27"/>
      <c r="F432" s="62" t="s">
        <v>249</v>
      </c>
      <c r="G432" s="62" t="s">
        <v>208</v>
      </c>
      <c r="J432" s="316"/>
      <c r="K432" s="316"/>
      <c r="L432" s="315">
        <f t="shared" si="106"/>
        <v>626.35430754248171</v>
      </c>
      <c r="M432" s="316"/>
      <c r="N432" s="315">
        <f t="shared" si="107"/>
        <v>2752.7615510216701</v>
      </c>
      <c r="O432" s="315">
        <f t="shared" si="107"/>
        <v>384.22863389737972</v>
      </c>
      <c r="P432" s="315">
        <f t="shared" si="107"/>
        <v>1199.9060334417386</v>
      </c>
      <c r="Q432" s="316"/>
      <c r="R432" s="316"/>
      <c r="S432" s="316"/>
      <c r="T432" s="316"/>
      <c r="U432" s="316"/>
      <c r="V432" s="316"/>
      <c r="W432" s="316"/>
      <c r="X432" s="316"/>
      <c r="Y432" s="316"/>
      <c r="AQ432" s="3"/>
    </row>
    <row r="433" spans="3:43" x14ac:dyDescent="0.25">
      <c r="E433" s="27"/>
      <c r="F433" s="62" t="s">
        <v>250</v>
      </c>
      <c r="G433" s="62" t="s">
        <v>208</v>
      </c>
      <c r="J433" s="316"/>
      <c r="K433" s="316"/>
      <c r="L433" s="315">
        <f t="shared" si="106"/>
        <v>474.53708181458086</v>
      </c>
      <c r="M433" s="316"/>
      <c r="N433" s="315">
        <f t="shared" si="107"/>
        <v>2657.6290836606331</v>
      </c>
      <c r="O433" s="315">
        <f t="shared" si="107"/>
        <v>462.02677385764781</v>
      </c>
      <c r="P433" s="315">
        <f t="shared" si="107"/>
        <v>1383.3177603371421</v>
      </c>
      <c r="Q433" s="316"/>
      <c r="R433" s="316"/>
      <c r="S433" s="316"/>
      <c r="T433" s="316"/>
      <c r="U433" s="316"/>
      <c r="V433" s="316"/>
      <c r="W433" s="316"/>
      <c r="X433" s="316"/>
      <c r="Y433" s="316"/>
      <c r="AQ433" s="3"/>
    </row>
    <row r="434" spans="3:43" x14ac:dyDescent="0.25">
      <c r="E434" s="27"/>
      <c r="F434" s="62" t="s">
        <v>213</v>
      </c>
      <c r="G434" s="62" t="s">
        <v>213</v>
      </c>
      <c r="J434" s="316"/>
      <c r="K434" s="316"/>
      <c r="L434" s="315">
        <f t="shared" si="106"/>
        <v>63.083247145087483</v>
      </c>
      <c r="M434" s="316"/>
      <c r="N434" s="315">
        <f t="shared" si="107"/>
        <v>16.508881127294732</v>
      </c>
      <c r="O434" s="315">
        <f t="shared" si="107"/>
        <v>1.3607308474806881</v>
      </c>
      <c r="P434" s="315">
        <f t="shared" si="107"/>
        <v>0.90817153208408563</v>
      </c>
      <c r="Q434" s="316"/>
      <c r="R434" s="316"/>
      <c r="S434" s="316"/>
      <c r="T434" s="316"/>
      <c r="U434" s="316"/>
      <c r="V434" s="316"/>
      <c r="W434" s="316"/>
      <c r="X434" s="316"/>
      <c r="Y434" s="316"/>
      <c r="AQ434" s="3"/>
    </row>
    <row r="435" spans="3:43" x14ac:dyDescent="0.25">
      <c r="E435" s="27"/>
      <c r="F435" s="62" t="s">
        <v>251</v>
      </c>
      <c r="G435" s="62" t="s">
        <v>252</v>
      </c>
      <c r="J435" s="316"/>
      <c r="K435" s="316"/>
      <c r="L435" s="315">
        <f t="shared" si="106"/>
        <v>0</v>
      </c>
      <c r="M435" s="316"/>
      <c r="N435" s="315">
        <f t="shared" si="107"/>
        <v>5627.6234651894238</v>
      </c>
      <c r="O435" s="315">
        <f t="shared" si="107"/>
        <v>731.21740769289693</v>
      </c>
      <c r="P435" s="315">
        <f t="shared" si="107"/>
        <v>2161.5417835418766</v>
      </c>
      <c r="Q435" s="316"/>
      <c r="R435" s="316"/>
      <c r="S435" s="316"/>
      <c r="T435" s="316"/>
      <c r="U435" s="316"/>
      <c r="V435" s="316"/>
      <c r="W435" s="316"/>
      <c r="X435" s="316"/>
      <c r="Y435" s="316"/>
      <c r="AQ435" s="3"/>
    </row>
    <row r="436" spans="3:43" x14ac:dyDescent="0.25">
      <c r="E436" s="27"/>
      <c r="F436" s="62" t="s">
        <v>253</v>
      </c>
      <c r="G436" s="62" t="s">
        <v>252</v>
      </c>
      <c r="J436" s="316"/>
      <c r="K436" s="316"/>
      <c r="L436" s="315">
        <f t="shared" si="106"/>
        <v>0</v>
      </c>
      <c r="M436" s="316"/>
      <c r="N436" s="315">
        <f t="shared" si="107"/>
        <v>1.3787487454534286</v>
      </c>
      <c r="O436" s="315">
        <f t="shared" si="107"/>
        <v>0</v>
      </c>
      <c r="P436" s="315">
        <f t="shared" si="107"/>
        <v>0</v>
      </c>
      <c r="Q436" s="316"/>
      <c r="R436" s="316"/>
      <c r="S436" s="316"/>
      <c r="T436" s="316"/>
      <c r="U436" s="316"/>
      <c r="V436" s="316"/>
      <c r="W436" s="316"/>
      <c r="X436" s="316"/>
      <c r="Y436" s="316"/>
      <c r="AQ436" s="3"/>
    </row>
    <row r="437" spans="3:43" x14ac:dyDescent="0.25">
      <c r="E437" s="27"/>
      <c r="F437" s="70" t="s">
        <v>254</v>
      </c>
      <c r="G437" s="70" t="s">
        <v>255</v>
      </c>
      <c r="H437" s="28"/>
      <c r="I437" s="28"/>
      <c r="J437" s="71"/>
      <c r="K437" s="71"/>
      <c r="L437" s="90">
        <f t="shared" si="106"/>
        <v>0</v>
      </c>
      <c r="M437" s="71"/>
      <c r="N437" s="90">
        <f t="shared" si="107"/>
        <v>195.42822005375271</v>
      </c>
      <c r="O437" s="90">
        <f t="shared" si="107"/>
        <v>12.644416527441679</v>
      </c>
      <c r="P437" s="90">
        <f t="shared" si="107"/>
        <v>69.520899581763985</v>
      </c>
      <c r="Q437" s="71"/>
      <c r="R437" s="71"/>
      <c r="S437" s="71"/>
      <c r="T437" s="71"/>
      <c r="U437" s="71"/>
      <c r="V437" s="71"/>
      <c r="W437" s="71"/>
      <c r="X437" s="71"/>
      <c r="Y437" s="71"/>
      <c r="AQ437" s="3"/>
    </row>
    <row r="438" spans="3:43" x14ac:dyDescent="0.25">
      <c r="AQ438" s="3"/>
    </row>
    <row r="439" spans="3:43" x14ac:dyDescent="0.25">
      <c r="E439" s="27" t="s">
        <v>974</v>
      </c>
      <c r="G439" s="12"/>
      <c r="I439" t="s">
        <v>155</v>
      </c>
      <c r="AQ439" s="3"/>
    </row>
    <row r="440" spans="3:43" x14ac:dyDescent="0.25">
      <c r="E440" s="27"/>
      <c r="F440" s="68" t="s">
        <v>248</v>
      </c>
      <c r="G440" s="68" t="s">
        <v>208</v>
      </c>
      <c r="H440" s="19"/>
      <c r="I440" s="19"/>
      <c r="J440" s="73"/>
      <c r="K440" s="73"/>
      <c r="L440" s="116">
        <f t="shared" ref="L440:L446" si="108">L85+L422+L431</f>
        <v>20624.645486863392</v>
      </c>
      <c r="M440" s="73"/>
      <c r="N440" s="116">
        <f t="shared" ref="N440:P446" si="109">N85+N422+N431</f>
        <v>15193.744315755326</v>
      </c>
      <c r="O440" s="116">
        <f t="shared" si="109"/>
        <v>6497.4655574616236</v>
      </c>
      <c r="P440" s="116">
        <f t="shared" si="109"/>
        <v>25009.223777414958</v>
      </c>
      <c r="Q440" s="73"/>
      <c r="R440" s="73"/>
      <c r="S440" s="73"/>
      <c r="T440" s="73"/>
      <c r="U440" s="73"/>
      <c r="V440" s="73"/>
      <c r="W440" s="73"/>
      <c r="X440" s="73"/>
      <c r="Y440" s="73"/>
      <c r="AQ440" s="3"/>
    </row>
    <row r="441" spans="3:43" x14ac:dyDescent="0.25">
      <c r="E441" s="27"/>
      <c r="F441" s="62" t="s">
        <v>249</v>
      </c>
      <c r="G441" s="62" t="s">
        <v>208</v>
      </c>
      <c r="J441" s="316"/>
      <c r="K441" s="316"/>
      <c r="L441" s="315">
        <f t="shared" si="108"/>
        <v>164605.93473452039</v>
      </c>
      <c r="M441" s="316"/>
      <c r="N441" s="315">
        <f t="shared" si="109"/>
        <v>109293.99524418115</v>
      </c>
      <c r="O441" s="315">
        <f t="shared" si="109"/>
        <v>47609.574882820096</v>
      </c>
      <c r="P441" s="315">
        <f t="shared" si="109"/>
        <v>173647.27656075475</v>
      </c>
      <c r="Q441" s="316"/>
      <c r="R441" s="316"/>
      <c r="S441" s="316"/>
      <c r="T441" s="316"/>
      <c r="U441" s="316"/>
      <c r="V441" s="316"/>
      <c r="W441" s="316"/>
      <c r="X441" s="316"/>
      <c r="Y441" s="316"/>
      <c r="AQ441" s="3"/>
    </row>
    <row r="442" spans="3:43" x14ac:dyDescent="0.25">
      <c r="E442" s="27"/>
      <c r="F442" s="62" t="s">
        <v>250</v>
      </c>
      <c r="G442" s="62" t="s">
        <v>208</v>
      </c>
      <c r="J442" s="316"/>
      <c r="K442" s="316"/>
      <c r="L442" s="315">
        <f t="shared" si="108"/>
        <v>140249.47090054885</v>
      </c>
      <c r="M442" s="316"/>
      <c r="N442" s="315">
        <f t="shared" si="109"/>
        <v>97483.045975375004</v>
      </c>
      <c r="O442" s="315">
        <f t="shared" si="109"/>
        <v>47070.623359506841</v>
      </c>
      <c r="P442" s="315">
        <f t="shared" si="109"/>
        <v>197624.34008137771</v>
      </c>
      <c r="Q442" s="316"/>
      <c r="R442" s="316"/>
      <c r="S442" s="316"/>
      <c r="T442" s="316"/>
      <c r="U442" s="316"/>
      <c r="V442" s="316"/>
      <c r="W442" s="316"/>
      <c r="X442" s="316"/>
      <c r="Y442" s="316"/>
      <c r="AQ442" s="3"/>
    </row>
    <row r="443" spans="3:43" x14ac:dyDescent="0.25">
      <c r="E443" s="27"/>
      <c r="F443" s="62" t="s">
        <v>213</v>
      </c>
      <c r="G443" s="62" t="s">
        <v>213</v>
      </c>
      <c r="J443" s="316"/>
      <c r="K443" s="316"/>
      <c r="L443" s="315">
        <f t="shared" si="108"/>
        <v>18243.781096903222</v>
      </c>
      <c r="M443" s="316"/>
      <c r="N443" s="315">
        <f t="shared" si="109"/>
        <v>860.15947403315749</v>
      </c>
      <c r="O443" s="315">
        <f t="shared" si="109"/>
        <v>314.04078868536357</v>
      </c>
      <c r="P443" s="315">
        <f t="shared" si="109"/>
        <v>124.32468778135895</v>
      </c>
      <c r="Q443" s="316"/>
      <c r="R443" s="316"/>
      <c r="S443" s="316"/>
      <c r="T443" s="316"/>
      <c r="U443" s="316"/>
      <c r="V443" s="316"/>
      <c r="W443" s="316"/>
      <c r="X443" s="316"/>
      <c r="Y443" s="316"/>
      <c r="AQ443" s="3"/>
    </row>
    <row r="444" spans="3:43" x14ac:dyDescent="0.25">
      <c r="E444" s="27"/>
      <c r="F444" s="62" t="s">
        <v>251</v>
      </c>
      <c r="G444" s="62" t="s">
        <v>252</v>
      </c>
      <c r="J444" s="316"/>
      <c r="K444" s="316"/>
      <c r="L444" s="315">
        <f t="shared" si="108"/>
        <v>0</v>
      </c>
      <c r="M444" s="316"/>
      <c r="N444" s="315">
        <f t="shared" si="109"/>
        <v>161239.78623492466</v>
      </c>
      <c r="O444" s="315">
        <f t="shared" si="109"/>
        <v>59936.708512947487</v>
      </c>
      <c r="P444" s="315">
        <f t="shared" si="109"/>
        <v>168230.85961565486</v>
      </c>
      <c r="Q444" s="316"/>
      <c r="R444" s="316"/>
      <c r="S444" s="316"/>
      <c r="T444" s="316"/>
      <c r="U444" s="316"/>
      <c r="V444" s="316"/>
      <c r="W444" s="316"/>
      <c r="X444" s="316"/>
      <c r="Y444" s="316"/>
      <c r="AQ444" s="3"/>
    </row>
    <row r="445" spans="3:43" x14ac:dyDescent="0.25">
      <c r="E445" s="27"/>
      <c r="F445" s="62" t="s">
        <v>253</v>
      </c>
      <c r="G445" s="62" t="s">
        <v>252</v>
      </c>
      <c r="J445" s="316"/>
      <c r="K445" s="316"/>
      <c r="L445" s="315">
        <f t="shared" si="108"/>
        <v>0</v>
      </c>
      <c r="M445" s="316"/>
      <c r="N445" s="315">
        <f t="shared" si="109"/>
        <v>547.09753214567263</v>
      </c>
      <c r="O445" s="315">
        <f t="shared" si="109"/>
        <v>357.66623596231426</v>
      </c>
      <c r="P445" s="315">
        <f t="shared" si="109"/>
        <v>621.98643401730124</v>
      </c>
      <c r="Q445" s="316"/>
      <c r="R445" s="316"/>
      <c r="S445" s="316"/>
      <c r="T445" s="316"/>
      <c r="U445" s="316"/>
      <c r="V445" s="316"/>
      <c r="W445" s="316"/>
      <c r="X445" s="316"/>
      <c r="Y445" s="316"/>
      <c r="AQ445" s="3"/>
    </row>
    <row r="446" spans="3:43" x14ac:dyDescent="0.25">
      <c r="E446" s="27"/>
      <c r="F446" s="70" t="s">
        <v>254</v>
      </c>
      <c r="G446" s="70" t="s">
        <v>255</v>
      </c>
      <c r="H446" s="28"/>
      <c r="I446" s="28"/>
      <c r="J446" s="71"/>
      <c r="K446" s="71"/>
      <c r="L446" s="90">
        <f t="shared" si="108"/>
        <v>0</v>
      </c>
      <c r="M446" s="71"/>
      <c r="N446" s="90">
        <f t="shared" si="109"/>
        <v>17886.366283347139</v>
      </c>
      <c r="O446" s="90">
        <f t="shared" si="109"/>
        <v>9635.594456615172</v>
      </c>
      <c r="P446" s="90">
        <f t="shared" si="109"/>
        <v>32077.399798033177</v>
      </c>
      <c r="Q446" s="71"/>
      <c r="R446" s="71"/>
      <c r="S446" s="71"/>
      <c r="T446" s="71"/>
      <c r="U446" s="71"/>
      <c r="V446" s="71"/>
      <c r="W446" s="71"/>
      <c r="X446" s="71"/>
      <c r="Y446" s="71"/>
      <c r="AQ446" s="3"/>
    </row>
    <row r="447" spans="3:43" x14ac:dyDescent="0.25">
      <c r="AQ447" s="3"/>
    </row>
    <row r="448" spans="3:43" x14ac:dyDescent="0.25">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155</v>
      </c>
      <c r="AQ450" s="3"/>
    </row>
    <row r="451" spans="3:43" x14ac:dyDescent="0.25">
      <c r="E451" s="27"/>
      <c r="F451" s="68" t="s">
        <v>248</v>
      </c>
      <c r="G451" s="68" t="s">
        <v>208</v>
      </c>
      <c r="H451" s="19"/>
      <c r="I451" s="19"/>
      <c r="J451" s="73"/>
      <c r="K451" s="73"/>
      <c r="L451" s="116">
        <f t="shared" ref="L451:L457" si="110">(1 - L315) * L141</f>
        <v>62.496950596732354</v>
      </c>
      <c r="M451" s="73"/>
      <c r="N451" s="116">
        <f t="shared" ref="N451:P457" si="111">(1 - N315) * N141</f>
        <v>35.423603280586953</v>
      </c>
      <c r="O451" s="116">
        <f t="shared" si="111"/>
        <v>0</v>
      </c>
      <c r="P451" s="116">
        <f t="shared" si="111"/>
        <v>0</v>
      </c>
      <c r="Q451" s="73"/>
      <c r="R451" s="73"/>
      <c r="S451" s="73"/>
      <c r="T451" s="73"/>
      <c r="U451" s="73"/>
      <c r="V451" s="73"/>
      <c r="W451" s="73"/>
      <c r="X451" s="73"/>
      <c r="Y451" s="73"/>
      <c r="AQ451" s="3"/>
    </row>
    <row r="452" spans="3:43" x14ac:dyDescent="0.25">
      <c r="E452" s="27"/>
      <c r="F452" s="62" t="s">
        <v>249</v>
      </c>
      <c r="G452" s="62" t="s">
        <v>208</v>
      </c>
      <c r="J452" s="316"/>
      <c r="K452" s="316"/>
      <c r="L452" s="315">
        <f t="shared" si="110"/>
        <v>559.9149502304964</v>
      </c>
      <c r="M452" s="316"/>
      <c r="N452" s="315">
        <f t="shared" si="111"/>
        <v>252.9648229220052</v>
      </c>
      <c r="O452" s="315">
        <f t="shared" si="111"/>
        <v>0</v>
      </c>
      <c r="P452" s="315">
        <f t="shared" si="111"/>
        <v>0</v>
      </c>
      <c r="Q452" s="316"/>
      <c r="R452" s="316"/>
      <c r="S452" s="316"/>
      <c r="T452" s="316"/>
      <c r="U452" s="316"/>
      <c r="V452" s="316"/>
      <c r="W452" s="316"/>
      <c r="X452" s="316"/>
      <c r="Y452" s="316"/>
      <c r="AQ452" s="3"/>
    </row>
    <row r="453" spans="3:43" x14ac:dyDescent="0.25">
      <c r="E453" s="27"/>
      <c r="F453" s="62" t="s">
        <v>250</v>
      </c>
      <c r="G453" s="62" t="s">
        <v>208</v>
      </c>
      <c r="J453" s="316"/>
      <c r="K453" s="316"/>
      <c r="L453" s="315">
        <f t="shared" si="110"/>
        <v>417.93702782049468</v>
      </c>
      <c r="M453" s="316"/>
      <c r="N453" s="315">
        <f t="shared" si="111"/>
        <v>247.61060814640089</v>
      </c>
      <c r="O453" s="315">
        <f t="shared" si="111"/>
        <v>0</v>
      </c>
      <c r="P453" s="315">
        <f t="shared" si="111"/>
        <v>0</v>
      </c>
      <c r="Q453" s="316"/>
      <c r="R453" s="316"/>
      <c r="S453" s="316"/>
      <c r="T453" s="316"/>
      <c r="U453" s="316"/>
      <c r="V453" s="316"/>
      <c r="W453" s="316"/>
      <c r="X453" s="316"/>
      <c r="Y453" s="316"/>
      <c r="AQ453" s="3"/>
    </row>
    <row r="454" spans="3:43" x14ac:dyDescent="0.25">
      <c r="E454" s="27"/>
      <c r="F454" s="62" t="s">
        <v>213</v>
      </c>
      <c r="G454" s="62" t="s">
        <v>213</v>
      </c>
      <c r="J454" s="316"/>
      <c r="K454" s="316"/>
      <c r="L454" s="315">
        <f t="shared" si="110"/>
        <v>25.042950131289732</v>
      </c>
      <c r="M454" s="316"/>
      <c r="N454" s="315">
        <f t="shared" si="111"/>
        <v>2.0062513609972497</v>
      </c>
      <c r="O454" s="315">
        <f t="shared" si="111"/>
        <v>0</v>
      </c>
      <c r="P454" s="315">
        <f t="shared" si="111"/>
        <v>0</v>
      </c>
      <c r="Q454" s="316"/>
      <c r="R454" s="316"/>
      <c r="S454" s="316"/>
      <c r="T454" s="316"/>
      <c r="U454" s="316"/>
      <c r="V454" s="316"/>
      <c r="W454" s="316"/>
      <c r="X454" s="316"/>
      <c r="Y454" s="316"/>
      <c r="AQ454" s="3"/>
    </row>
    <row r="455" spans="3:43" x14ac:dyDescent="0.25">
      <c r="E455" s="27"/>
      <c r="F455" s="62" t="s">
        <v>251</v>
      </c>
      <c r="G455" s="62" t="s">
        <v>252</v>
      </c>
      <c r="J455" s="316"/>
      <c r="K455" s="316"/>
      <c r="L455" s="315">
        <f t="shared" si="110"/>
        <v>0</v>
      </c>
      <c r="M455" s="316"/>
      <c r="N455" s="315">
        <f t="shared" si="111"/>
        <v>893.23067896675252</v>
      </c>
      <c r="O455" s="315">
        <f t="shared" si="111"/>
        <v>0</v>
      </c>
      <c r="P455" s="315">
        <f t="shared" si="111"/>
        <v>0</v>
      </c>
      <c r="Q455" s="316"/>
      <c r="R455" s="316"/>
      <c r="S455" s="316"/>
      <c r="T455" s="316"/>
      <c r="U455" s="316"/>
      <c r="V455" s="316"/>
      <c r="W455" s="316"/>
      <c r="X455" s="316"/>
      <c r="Y455" s="316"/>
      <c r="AQ455" s="3"/>
    </row>
    <row r="456" spans="3:43" x14ac:dyDescent="0.25">
      <c r="E456" s="27"/>
      <c r="F456" s="62" t="s">
        <v>253</v>
      </c>
      <c r="G456" s="62" t="s">
        <v>252</v>
      </c>
      <c r="J456" s="316"/>
      <c r="K456" s="316"/>
      <c r="L456" s="315">
        <f t="shared" si="110"/>
        <v>0</v>
      </c>
      <c r="M456" s="316"/>
      <c r="N456" s="315">
        <f t="shared" si="111"/>
        <v>0.15530360349550254</v>
      </c>
      <c r="O456" s="315">
        <f t="shared" si="111"/>
        <v>0</v>
      </c>
      <c r="P456" s="315">
        <f t="shared" si="111"/>
        <v>0</v>
      </c>
      <c r="Q456" s="316"/>
      <c r="R456" s="316"/>
      <c r="S456" s="316"/>
      <c r="T456" s="316"/>
      <c r="U456" s="316"/>
      <c r="V456" s="316"/>
      <c r="W456" s="316"/>
      <c r="X456" s="316"/>
      <c r="Y456" s="316"/>
      <c r="AQ456" s="3"/>
    </row>
    <row r="457" spans="3:43" x14ac:dyDescent="0.25">
      <c r="E457" s="27"/>
      <c r="F457" s="70" t="s">
        <v>254</v>
      </c>
      <c r="G457" s="70" t="s">
        <v>255</v>
      </c>
      <c r="H457" s="28"/>
      <c r="I457" s="28"/>
      <c r="J457" s="71"/>
      <c r="K457" s="71"/>
      <c r="L457" s="90">
        <f t="shared" si="110"/>
        <v>0</v>
      </c>
      <c r="M457" s="71"/>
      <c r="N457" s="90">
        <f t="shared" si="111"/>
        <v>92.174632778334129</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155</v>
      </c>
      <c r="AQ459" s="3"/>
    </row>
    <row r="460" spans="3:43" x14ac:dyDescent="0.25">
      <c r="E460" s="27"/>
      <c r="F460" s="68" t="s">
        <v>248</v>
      </c>
      <c r="G460" s="68" t="s">
        <v>208</v>
      </c>
      <c r="H460" s="19"/>
      <c r="I460" s="19"/>
      <c r="J460" s="73"/>
      <c r="K460" s="73"/>
      <c r="L460" s="116">
        <f t="shared" ref="L460:L466" si="112">(1 - L324) * L188</f>
        <v>260.2392134091827</v>
      </c>
      <c r="M460" s="73"/>
      <c r="N460" s="116">
        <f t="shared" ref="N460:P466" si="113">(1 - N324) * N188</f>
        <v>505.55728414939739</v>
      </c>
      <c r="O460" s="116">
        <f t="shared" si="113"/>
        <v>261.65738779646995</v>
      </c>
      <c r="P460" s="116">
        <f t="shared" si="113"/>
        <v>492.97656739004765</v>
      </c>
      <c r="Q460" s="73"/>
      <c r="R460" s="73"/>
      <c r="S460" s="73"/>
      <c r="T460" s="73"/>
      <c r="U460" s="73"/>
      <c r="V460" s="73"/>
      <c r="W460" s="73"/>
      <c r="X460" s="73"/>
      <c r="Y460" s="73"/>
      <c r="AQ460" s="3"/>
    </row>
    <row r="461" spans="3:43" x14ac:dyDescent="0.25">
      <c r="E461" s="27"/>
      <c r="F461" s="62" t="s">
        <v>249</v>
      </c>
      <c r="G461" s="62" t="s">
        <v>208</v>
      </c>
      <c r="J461" s="316"/>
      <c r="K461" s="316"/>
      <c r="L461" s="315">
        <f t="shared" si="112"/>
        <v>2079.3601698718435</v>
      </c>
      <c r="M461" s="316"/>
      <c r="N461" s="315">
        <f t="shared" si="113"/>
        <v>3266.9380435841099</v>
      </c>
      <c r="O461" s="315">
        <f t="shared" si="113"/>
        <v>1586.3611326077464</v>
      </c>
      <c r="P461" s="315">
        <f t="shared" si="113"/>
        <v>3201.4761171121991</v>
      </c>
      <c r="Q461" s="316"/>
      <c r="R461" s="316"/>
      <c r="S461" s="316"/>
      <c r="T461" s="316"/>
      <c r="U461" s="316"/>
      <c r="V461" s="316"/>
      <c r="W461" s="316"/>
      <c r="X461" s="316"/>
      <c r="Y461" s="316"/>
      <c r="AQ461" s="3"/>
    </row>
    <row r="462" spans="3:43" x14ac:dyDescent="0.25">
      <c r="E462" s="27"/>
      <c r="F462" s="62" t="s">
        <v>250</v>
      </c>
      <c r="G462" s="62" t="s">
        <v>208</v>
      </c>
      <c r="J462" s="316"/>
      <c r="K462" s="316"/>
      <c r="L462" s="315">
        <f t="shared" si="112"/>
        <v>1575.3599762472002</v>
      </c>
      <c r="M462" s="316"/>
      <c r="N462" s="315">
        <f t="shared" si="113"/>
        <v>3154.0361917377541</v>
      </c>
      <c r="O462" s="315">
        <f t="shared" si="113"/>
        <v>1907.5655784354592</v>
      </c>
      <c r="P462" s="315">
        <f t="shared" si="113"/>
        <v>3690.8379895328949</v>
      </c>
      <c r="Q462" s="316"/>
      <c r="R462" s="316"/>
      <c r="S462" s="316"/>
      <c r="T462" s="316"/>
      <c r="U462" s="316"/>
      <c r="V462" s="316"/>
      <c r="W462" s="316"/>
      <c r="X462" s="316"/>
      <c r="Y462" s="316"/>
      <c r="AQ462" s="3"/>
    </row>
    <row r="463" spans="3:43" x14ac:dyDescent="0.25">
      <c r="E463" s="27"/>
      <c r="F463" s="62" t="s">
        <v>213</v>
      </c>
      <c r="G463" s="62" t="s">
        <v>213</v>
      </c>
      <c r="J463" s="316"/>
      <c r="K463" s="316"/>
      <c r="L463" s="315">
        <f t="shared" si="112"/>
        <v>64.212454305803078</v>
      </c>
      <c r="M463" s="316"/>
      <c r="N463" s="315">
        <f t="shared" si="113"/>
        <v>10.799902506679798</v>
      </c>
      <c r="O463" s="315">
        <f t="shared" si="113"/>
        <v>2.6057842933678539</v>
      </c>
      <c r="P463" s="315">
        <f t="shared" si="113"/>
        <v>0.95837032577644243</v>
      </c>
      <c r="Q463" s="316"/>
      <c r="R463" s="316"/>
      <c r="S463" s="316"/>
      <c r="T463" s="316"/>
      <c r="U463" s="316"/>
      <c r="V463" s="316"/>
      <c r="W463" s="316"/>
      <c r="X463" s="316"/>
      <c r="Y463" s="316"/>
      <c r="AQ463" s="3"/>
    </row>
    <row r="464" spans="3:43" x14ac:dyDescent="0.25">
      <c r="E464" s="27"/>
      <c r="F464" s="62" t="s">
        <v>251</v>
      </c>
      <c r="G464" s="62" t="s">
        <v>252</v>
      </c>
      <c r="J464" s="316"/>
      <c r="K464" s="316"/>
      <c r="L464" s="315">
        <f t="shared" si="112"/>
        <v>0</v>
      </c>
      <c r="M464" s="316"/>
      <c r="N464" s="315">
        <f t="shared" si="113"/>
        <v>6827.4875993426194</v>
      </c>
      <c r="O464" s="315">
        <f t="shared" si="113"/>
        <v>2931.6503093550014</v>
      </c>
      <c r="P464" s="315">
        <f t="shared" si="113"/>
        <v>5466.9044976118721</v>
      </c>
      <c r="Q464" s="316"/>
      <c r="R464" s="316"/>
      <c r="S464" s="316"/>
      <c r="T464" s="316"/>
      <c r="U464" s="316"/>
      <c r="V464" s="316"/>
      <c r="W464" s="316"/>
      <c r="X464" s="316"/>
      <c r="Y464" s="316"/>
      <c r="AQ464" s="3"/>
    </row>
    <row r="465" spans="3:43" x14ac:dyDescent="0.25">
      <c r="E465" s="27"/>
      <c r="F465" s="62" t="s">
        <v>253</v>
      </c>
      <c r="G465" s="62" t="s">
        <v>252</v>
      </c>
      <c r="J465" s="316"/>
      <c r="K465" s="316"/>
      <c r="L465" s="315">
        <f t="shared" si="112"/>
        <v>0</v>
      </c>
      <c r="M465" s="316"/>
      <c r="N465" s="315">
        <f t="shared" si="113"/>
        <v>0.27548758464933776</v>
      </c>
      <c r="O465" s="315">
        <f t="shared" si="113"/>
        <v>0</v>
      </c>
      <c r="P465" s="315">
        <f t="shared" si="113"/>
        <v>0</v>
      </c>
      <c r="Q465" s="316"/>
      <c r="R465" s="316"/>
      <c r="S465" s="316"/>
      <c r="T465" s="316"/>
      <c r="U465" s="316"/>
      <c r="V465" s="316"/>
      <c r="W465" s="316"/>
      <c r="X465" s="316"/>
      <c r="Y465" s="316"/>
      <c r="AQ465" s="3"/>
    </row>
    <row r="466" spans="3:43" x14ac:dyDescent="0.25">
      <c r="E466" s="27"/>
      <c r="F466" s="70" t="s">
        <v>254</v>
      </c>
      <c r="G466" s="70" t="s">
        <v>255</v>
      </c>
      <c r="H466" s="28"/>
      <c r="I466" s="28"/>
      <c r="J466" s="71"/>
      <c r="K466" s="71"/>
      <c r="L466" s="90">
        <f t="shared" si="112"/>
        <v>0</v>
      </c>
      <c r="M466" s="71"/>
      <c r="N466" s="90">
        <f t="shared" si="113"/>
        <v>248.8718925089116</v>
      </c>
      <c r="O466" s="90">
        <f t="shared" si="113"/>
        <v>51.320864048796651</v>
      </c>
      <c r="P466" s="90">
        <f t="shared" si="113"/>
        <v>143.65408864280889</v>
      </c>
      <c r="Q466" s="71"/>
      <c r="R466" s="71"/>
      <c r="S466" s="71"/>
      <c r="T466" s="71"/>
      <c r="U466" s="71"/>
      <c r="V466" s="71"/>
      <c r="W466" s="71"/>
      <c r="X466" s="71"/>
      <c r="Y466" s="71"/>
      <c r="AQ466" s="3"/>
    </row>
    <row r="467" spans="3:43" x14ac:dyDescent="0.25">
      <c r="AQ467" s="3"/>
    </row>
    <row r="468" spans="3:43" x14ac:dyDescent="0.25">
      <c r="E468" s="27" t="s">
        <v>971</v>
      </c>
      <c r="G468" s="12"/>
      <c r="I468" t="s">
        <v>155</v>
      </c>
      <c r="AQ468" s="3"/>
    </row>
    <row r="469" spans="3:43" x14ac:dyDescent="0.25">
      <c r="E469" s="27"/>
      <c r="F469" s="68" t="s">
        <v>248</v>
      </c>
      <c r="G469" s="68" t="s">
        <v>208</v>
      </c>
      <c r="H469" s="19"/>
      <c r="I469" s="19"/>
      <c r="J469" s="73"/>
      <c r="K469" s="73"/>
      <c r="L469" s="116">
        <f t="shared" ref="L469:L475" si="114">L94+L451+L460</f>
        <v>68469.340478195896</v>
      </c>
      <c r="M469" s="73"/>
      <c r="N469" s="116">
        <f t="shared" ref="N469:P475" si="115">N94+N451+N460</f>
        <v>18031.718479651252</v>
      </c>
      <c r="O469" s="116">
        <f t="shared" si="115"/>
        <v>26826.024693327614</v>
      </c>
      <c r="P469" s="116">
        <f t="shared" si="115"/>
        <v>66727.252300957931</v>
      </c>
      <c r="Q469" s="73"/>
      <c r="R469" s="73"/>
      <c r="S469" s="73"/>
      <c r="T469" s="73"/>
      <c r="U469" s="73"/>
      <c r="V469" s="73"/>
      <c r="W469" s="73"/>
      <c r="X469" s="73"/>
      <c r="Y469" s="73"/>
      <c r="AQ469" s="3"/>
    </row>
    <row r="470" spans="3:43" x14ac:dyDescent="0.25">
      <c r="E470" s="27"/>
      <c r="F470" s="62" t="s">
        <v>249</v>
      </c>
      <c r="G470" s="62" t="s">
        <v>208</v>
      </c>
      <c r="J470" s="316"/>
      <c r="K470" s="316"/>
      <c r="L470" s="315">
        <f t="shared" si="114"/>
        <v>546455.9280424068</v>
      </c>
      <c r="M470" s="316"/>
      <c r="N470" s="315">
        <f t="shared" si="115"/>
        <v>129708.55062473423</v>
      </c>
      <c r="O470" s="315">
        <f t="shared" si="115"/>
        <v>196565.20225469553</v>
      </c>
      <c r="P470" s="315">
        <f t="shared" si="115"/>
        <v>463309.28690827882</v>
      </c>
      <c r="Q470" s="316"/>
      <c r="R470" s="316"/>
      <c r="S470" s="316"/>
      <c r="T470" s="316"/>
      <c r="U470" s="316"/>
      <c r="V470" s="316"/>
      <c r="W470" s="316"/>
      <c r="X470" s="316"/>
      <c r="Y470" s="316"/>
      <c r="AQ470" s="3"/>
    </row>
    <row r="471" spans="3:43" x14ac:dyDescent="0.25">
      <c r="E471" s="27"/>
      <c r="F471" s="62" t="s">
        <v>250</v>
      </c>
      <c r="G471" s="62" t="s">
        <v>208</v>
      </c>
      <c r="J471" s="316"/>
      <c r="K471" s="316"/>
      <c r="L471" s="315">
        <f t="shared" si="114"/>
        <v>465597.76172118366</v>
      </c>
      <c r="M471" s="316"/>
      <c r="N471" s="315">
        <f t="shared" si="115"/>
        <v>115691.48493199963</v>
      </c>
      <c r="O471" s="315">
        <f t="shared" si="115"/>
        <v>194340.03818956178</v>
      </c>
      <c r="P471" s="315">
        <f t="shared" si="115"/>
        <v>527282.62655353185</v>
      </c>
      <c r="Q471" s="316"/>
      <c r="R471" s="316"/>
      <c r="S471" s="316"/>
      <c r="T471" s="316"/>
      <c r="U471" s="316"/>
      <c r="V471" s="316"/>
      <c r="W471" s="316"/>
      <c r="X471" s="316"/>
      <c r="Y471" s="316"/>
      <c r="AQ471" s="3"/>
    </row>
    <row r="472" spans="3:43" x14ac:dyDescent="0.25">
      <c r="E472" s="27"/>
      <c r="F472" s="62" t="s">
        <v>213</v>
      </c>
      <c r="G472" s="62" t="s">
        <v>213</v>
      </c>
      <c r="J472" s="316"/>
      <c r="K472" s="316"/>
      <c r="L472" s="315">
        <f t="shared" si="114"/>
        <v>18570.349705614339</v>
      </c>
      <c r="M472" s="316"/>
      <c r="N472" s="315">
        <f t="shared" si="115"/>
        <v>562.70551517850458</v>
      </c>
      <c r="O472" s="315">
        <f t="shared" si="115"/>
        <v>601.38458398900048</v>
      </c>
      <c r="P472" s="315">
        <f t="shared" si="115"/>
        <v>131.1966818180816</v>
      </c>
      <c r="Q472" s="316"/>
      <c r="R472" s="316"/>
      <c r="S472" s="316"/>
      <c r="T472" s="316"/>
      <c r="U472" s="316"/>
      <c r="V472" s="316"/>
      <c r="W472" s="316"/>
      <c r="X472" s="316"/>
      <c r="Y472" s="316"/>
      <c r="AQ472" s="3"/>
    </row>
    <row r="473" spans="3:43" x14ac:dyDescent="0.25">
      <c r="E473" s="27"/>
      <c r="F473" s="62" t="s">
        <v>251</v>
      </c>
      <c r="G473" s="62" t="s">
        <v>252</v>
      </c>
      <c r="J473" s="316"/>
      <c r="K473" s="316"/>
      <c r="L473" s="315">
        <f t="shared" si="114"/>
        <v>0</v>
      </c>
      <c r="M473" s="316"/>
      <c r="N473" s="315">
        <f t="shared" si="115"/>
        <v>195617.67908765882</v>
      </c>
      <c r="O473" s="315">
        <f t="shared" si="115"/>
        <v>240302.63531075654</v>
      </c>
      <c r="P473" s="315">
        <f t="shared" si="115"/>
        <v>425484.27704363974</v>
      </c>
      <c r="Q473" s="316"/>
      <c r="R473" s="316"/>
      <c r="S473" s="316"/>
      <c r="T473" s="316"/>
      <c r="U473" s="316"/>
      <c r="V473" s="316"/>
      <c r="W473" s="316"/>
      <c r="X473" s="316"/>
      <c r="Y473" s="316"/>
      <c r="AQ473" s="3"/>
    </row>
    <row r="474" spans="3:43" x14ac:dyDescent="0.25">
      <c r="E474" s="27"/>
      <c r="F474" s="62" t="s">
        <v>253</v>
      </c>
      <c r="G474" s="62" t="s">
        <v>252</v>
      </c>
      <c r="J474" s="316"/>
      <c r="K474" s="316"/>
      <c r="L474" s="315">
        <f t="shared" si="114"/>
        <v>0</v>
      </c>
      <c r="M474" s="316"/>
      <c r="N474" s="315">
        <f t="shared" si="115"/>
        <v>109.31547767164641</v>
      </c>
      <c r="O474" s="315">
        <f t="shared" si="115"/>
        <v>2401.1874249123075</v>
      </c>
      <c r="P474" s="315">
        <f t="shared" si="115"/>
        <v>116.79122459681906</v>
      </c>
      <c r="Q474" s="316"/>
      <c r="R474" s="316"/>
      <c r="S474" s="316"/>
      <c r="T474" s="316"/>
      <c r="U474" s="316"/>
      <c r="V474" s="316"/>
      <c r="W474" s="316"/>
      <c r="X474" s="316"/>
      <c r="Y474" s="316"/>
      <c r="AQ474" s="3"/>
    </row>
    <row r="475" spans="3:43" x14ac:dyDescent="0.25">
      <c r="E475" s="27"/>
      <c r="F475" s="70" t="s">
        <v>254</v>
      </c>
      <c r="G475" s="70" t="s">
        <v>255</v>
      </c>
      <c r="H475" s="28"/>
      <c r="I475" s="28"/>
      <c r="J475" s="71"/>
      <c r="K475" s="71"/>
      <c r="L475" s="90">
        <f t="shared" si="114"/>
        <v>0</v>
      </c>
      <c r="M475" s="71"/>
      <c r="N475" s="90">
        <f t="shared" si="115"/>
        <v>22777.743285078395</v>
      </c>
      <c r="O475" s="90">
        <f t="shared" si="115"/>
        <v>39108.726928132797</v>
      </c>
      <c r="P475" s="90">
        <f t="shared" si="115"/>
        <v>66282.940263135126</v>
      </c>
      <c r="Q475" s="71"/>
      <c r="R475" s="71"/>
      <c r="S475" s="71"/>
      <c r="T475" s="71"/>
      <c r="U475" s="71"/>
      <c r="V475" s="71"/>
      <c r="W475" s="71"/>
      <c r="X475" s="71"/>
      <c r="Y475" s="71"/>
      <c r="AQ475" s="3"/>
    </row>
    <row r="476" spans="3:43" x14ac:dyDescent="0.25">
      <c r="AQ476" s="3"/>
    </row>
    <row r="477" spans="3:43" x14ac:dyDescent="0.25">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248</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36"/>
      <c r="F481" s="2" t="s">
        <v>978</v>
      </c>
      <c r="G481" t="s">
        <v>208</v>
      </c>
      <c r="J481" s="121">
        <f t="shared" ref="J481:Y481" si="116">J353</f>
        <v>0</v>
      </c>
      <c r="K481" s="121">
        <f t="shared" si="116"/>
        <v>35.655431680661394</v>
      </c>
      <c r="L481" s="121">
        <f t="shared" si="116"/>
        <v>1.96160685643024</v>
      </c>
      <c r="M481" s="121">
        <f t="shared" si="116"/>
        <v>26.359392987120788</v>
      </c>
      <c r="N481" s="121">
        <f t="shared" si="116"/>
        <v>115.21540671198797</v>
      </c>
      <c r="O481" s="121">
        <f t="shared" si="116"/>
        <v>40.50566821701743</v>
      </c>
      <c r="P481" s="121">
        <f t="shared" si="116"/>
        <v>392.63546480335503</v>
      </c>
      <c r="Q481" s="121">
        <f t="shared" si="116"/>
        <v>0</v>
      </c>
      <c r="R481" s="121">
        <f t="shared" si="116"/>
        <v>457.81298617729391</v>
      </c>
      <c r="S481" s="121">
        <f t="shared" si="116"/>
        <v>0</v>
      </c>
      <c r="T481" s="121">
        <f t="shared" si="116"/>
        <v>3301.2298045794673</v>
      </c>
      <c r="U481" s="121">
        <f t="shared" si="116"/>
        <v>0</v>
      </c>
      <c r="V481" s="121">
        <f t="shared" si="116"/>
        <v>811.80541464978148</v>
      </c>
      <c r="W481" s="121">
        <f t="shared" si="116"/>
        <v>0</v>
      </c>
      <c r="X481" s="121">
        <f t="shared" si="116"/>
        <v>36268.325369716345</v>
      </c>
      <c r="Y481" s="121">
        <f t="shared" si="116"/>
        <v>0</v>
      </c>
      <c r="AQ481" s="3"/>
    </row>
    <row r="482" spans="5:43" x14ac:dyDescent="0.25">
      <c r="E482" s="336"/>
      <c r="F482" s="2" t="s">
        <v>979</v>
      </c>
      <c r="G482" t="s">
        <v>208</v>
      </c>
      <c r="J482" s="346">
        <f t="shared" ref="J482:Y482" si="117">J382</f>
        <v>428149.96695391025</v>
      </c>
      <c r="K482" s="346">
        <f t="shared" si="117"/>
        <v>0</v>
      </c>
      <c r="L482" s="346">
        <f t="shared" si="117"/>
        <v>5235.0466934216884</v>
      </c>
      <c r="M482" s="346">
        <f t="shared" si="117"/>
        <v>0</v>
      </c>
      <c r="N482" s="346">
        <f t="shared" si="117"/>
        <v>26495.064417118472</v>
      </c>
      <c r="O482" s="346">
        <f t="shared" si="117"/>
        <v>2585.7970480219956</v>
      </c>
      <c r="P482" s="346">
        <f t="shared" si="117"/>
        <v>11897.763654976701</v>
      </c>
      <c r="Q482" s="346">
        <f t="shared" si="117"/>
        <v>3026.8327703338973</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25">
      <c r="E483" s="336"/>
      <c r="F483" s="2" t="s">
        <v>980</v>
      </c>
      <c r="G483" t="s">
        <v>208</v>
      </c>
      <c r="J483" s="346">
        <f t="shared" ref="J483:Y483" si="118">J411</f>
        <v>0</v>
      </c>
      <c r="K483" s="346">
        <f t="shared" si="118"/>
        <v>0</v>
      </c>
      <c r="L483" s="346">
        <f t="shared" si="118"/>
        <v>20940.267245206513</v>
      </c>
      <c r="M483" s="346">
        <f t="shared" si="118"/>
        <v>0</v>
      </c>
      <c r="N483" s="346">
        <f t="shared" si="118"/>
        <v>30424.153241403488</v>
      </c>
      <c r="O483" s="346">
        <f t="shared" si="118"/>
        <v>6345.3343086963314</v>
      </c>
      <c r="P483" s="346">
        <f t="shared" si="118"/>
        <v>36605.401772557096</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25">
      <c r="E484" s="336"/>
      <c r="F484" s="2" t="s">
        <v>982</v>
      </c>
      <c r="G484" t="s">
        <v>208</v>
      </c>
      <c r="J484" s="91">
        <f t="shared" ref="J484:Y484" si="119">J440</f>
        <v>0</v>
      </c>
      <c r="K484" s="91">
        <f t="shared" si="119"/>
        <v>0</v>
      </c>
      <c r="L484" s="91">
        <f t="shared" si="119"/>
        <v>20624.645486863392</v>
      </c>
      <c r="M484" s="91">
        <f t="shared" si="119"/>
        <v>0</v>
      </c>
      <c r="N484" s="91">
        <f t="shared" si="119"/>
        <v>15193.744315755326</v>
      </c>
      <c r="O484" s="91">
        <f t="shared" si="119"/>
        <v>6497.4655574616236</v>
      </c>
      <c r="P484" s="91">
        <f t="shared" si="119"/>
        <v>25009.223777414958</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36"/>
      <c r="F485" s="2" t="s">
        <v>981</v>
      </c>
      <c r="G485" t="s">
        <v>208</v>
      </c>
      <c r="J485" s="91">
        <f t="shared" ref="J485:Y485" si="120">J469</f>
        <v>0</v>
      </c>
      <c r="K485" s="91">
        <f t="shared" si="120"/>
        <v>0</v>
      </c>
      <c r="L485" s="91">
        <f t="shared" si="120"/>
        <v>68469.340478195896</v>
      </c>
      <c r="M485" s="91">
        <f t="shared" si="120"/>
        <v>0</v>
      </c>
      <c r="N485" s="91">
        <f t="shared" si="120"/>
        <v>18031.718479651252</v>
      </c>
      <c r="O485" s="91">
        <f t="shared" si="120"/>
        <v>26826.024693327614</v>
      </c>
      <c r="P485" s="91">
        <f t="shared" si="120"/>
        <v>66727.252300957931</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249</v>
      </c>
      <c r="F486" s="2"/>
      <c r="J486" s="22"/>
      <c r="K486" s="22"/>
      <c r="L486" s="22"/>
      <c r="M486" s="22"/>
      <c r="N486" s="22"/>
      <c r="O486" s="22"/>
      <c r="P486" s="22"/>
      <c r="Q486" s="22"/>
      <c r="R486" s="22"/>
      <c r="S486" s="22"/>
      <c r="T486" s="22"/>
      <c r="U486" s="22"/>
      <c r="V486" s="22"/>
      <c r="W486" s="22"/>
      <c r="X486" s="22"/>
      <c r="Y486" s="22"/>
      <c r="AQ486" s="3"/>
    </row>
    <row r="487" spans="5:43" x14ac:dyDescent="0.25">
      <c r="E487" s="336"/>
      <c r="F487" s="2" t="s">
        <v>978</v>
      </c>
      <c r="G487" t="s">
        <v>208</v>
      </c>
      <c r="J487" s="121">
        <f t="shared" ref="J487:Y487" si="121">J354</f>
        <v>0</v>
      </c>
      <c r="K487" s="121">
        <f t="shared" si="121"/>
        <v>3242.2928055299481</v>
      </c>
      <c r="L487" s="121">
        <f t="shared" si="121"/>
        <v>15.655645106239813</v>
      </c>
      <c r="M487" s="121">
        <f t="shared" si="121"/>
        <v>1539.4768248033429</v>
      </c>
      <c r="N487" s="121">
        <f t="shared" si="121"/>
        <v>828.78531134544824</v>
      </c>
      <c r="O487" s="121">
        <f t="shared" si="121"/>
        <v>296.80151854627934</v>
      </c>
      <c r="P487" s="121">
        <f t="shared" si="121"/>
        <v>2726.1973322754607</v>
      </c>
      <c r="Q487" s="121">
        <f t="shared" si="121"/>
        <v>0</v>
      </c>
      <c r="R487" s="121">
        <f t="shared" si="121"/>
        <v>4560.9701820488117</v>
      </c>
      <c r="S487" s="121">
        <f t="shared" si="121"/>
        <v>0</v>
      </c>
      <c r="T487" s="121">
        <f t="shared" si="121"/>
        <v>31812.380256598921</v>
      </c>
      <c r="U487" s="121">
        <f t="shared" si="121"/>
        <v>0</v>
      </c>
      <c r="V487" s="121">
        <f t="shared" si="121"/>
        <v>7185.4690196373358</v>
      </c>
      <c r="W487" s="121">
        <f t="shared" si="121"/>
        <v>0</v>
      </c>
      <c r="X487" s="121">
        <f t="shared" si="121"/>
        <v>289073.53494591836</v>
      </c>
      <c r="Y487" s="121">
        <f t="shared" si="121"/>
        <v>0</v>
      </c>
      <c r="AQ487" s="3"/>
    </row>
    <row r="488" spans="5:43" x14ac:dyDescent="0.25">
      <c r="E488" s="336"/>
      <c r="F488" s="2" t="s">
        <v>979</v>
      </c>
      <c r="G488" t="s">
        <v>208</v>
      </c>
      <c r="J488" s="346">
        <f t="shared" ref="J488:Y488" si="122">J383</f>
        <v>2239763.2669037757</v>
      </c>
      <c r="K488" s="346">
        <f t="shared" si="122"/>
        <v>0</v>
      </c>
      <c r="L488" s="346">
        <f t="shared" si="122"/>
        <v>41781.069880614392</v>
      </c>
      <c r="M488" s="346">
        <f t="shared" si="122"/>
        <v>0</v>
      </c>
      <c r="N488" s="346">
        <f t="shared" si="122"/>
        <v>190588.40166186271</v>
      </c>
      <c r="O488" s="346">
        <f t="shared" si="122"/>
        <v>18947.187499624615</v>
      </c>
      <c r="P488" s="346">
        <f t="shared" si="122"/>
        <v>82610.091150289431</v>
      </c>
      <c r="Q488" s="346">
        <f t="shared" si="122"/>
        <v>28127.672923672086</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25">
      <c r="E489" s="336"/>
      <c r="F489" s="2" t="s">
        <v>980</v>
      </c>
      <c r="G489" t="s">
        <v>208</v>
      </c>
      <c r="J489" s="346">
        <f t="shared" ref="J489:Y489" si="123">J412</f>
        <v>0</v>
      </c>
      <c r="K489" s="346">
        <f t="shared" si="123"/>
        <v>0</v>
      </c>
      <c r="L489" s="346">
        <f t="shared" si="123"/>
        <v>167124.92176815029</v>
      </c>
      <c r="M489" s="346">
        <f t="shared" si="123"/>
        <v>0</v>
      </c>
      <c r="N489" s="346">
        <f t="shared" si="123"/>
        <v>218851.73203988376</v>
      </c>
      <c r="O489" s="346">
        <f t="shared" si="123"/>
        <v>46494.847299264009</v>
      </c>
      <c r="P489" s="346">
        <f t="shared" si="123"/>
        <v>254163.35915859387</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25">
      <c r="E490" s="336"/>
      <c r="F490" s="2" t="s">
        <v>982</v>
      </c>
      <c r="G490" t="s">
        <v>208</v>
      </c>
      <c r="J490" s="91">
        <f t="shared" ref="J490:Y490" si="124">J441</f>
        <v>0</v>
      </c>
      <c r="K490" s="91">
        <f t="shared" si="124"/>
        <v>0</v>
      </c>
      <c r="L490" s="91">
        <f t="shared" si="124"/>
        <v>164605.93473452039</v>
      </c>
      <c r="M490" s="91">
        <f t="shared" si="124"/>
        <v>0</v>
      </c>
      <c r="N490" s="91">
        <f t="shared" si="124"/>
        <v>109293.99524418115</v>
      </c>
      <c r="O490" s="91">
        <f t="shared" si="124"/>
        <v>47609.574882820096</v>
      </c>
      <c r="P490" s="91">
        <f t="shared" si="124"/>
        <v>173647.27656075475</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36"/>
      <c r="F491" s="2" t="s">
        <v>981</v>
      </c>
      <c r="G491" t="s">
        <v>208</v>
      </c>
      <c r="J491" s="91">
        <f t="shared" ref="J491:Y491" si="125">J470</f>
        <v>0</v>
      </c>
      <c r="K491" s="91">
        <f t="shared" si="125"/>
        <v>0</v>
      </c>
      <c r="L491" s="91">
        <f t="shared" si="125"/>
        <v>546455.9280424068</v>
      </c>
      <c r="M491" s="91">
        <f t="shared" si="125"/>
        <v>0</v>
      </c>
      <c r="N491" s="91">
        <f t="shared" si="125"/>
        <v>129708.55062473423</v>
      </c>
      <c r="O491" s="91">
        <f t="shared" si="125"/>
        <v>196565.20225469553</v>
      </c>
      <c r="P491" s="91">
        <f t="shared" si="125"/>
        <v>463309.28690827882</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250</v>
      </c>
      <c r="F492" s="2"/>
      <c r="J492" s="22"/>
      <c r="K492" s="22"/>
      <c r="L492" s="22"/>
      <c r="M492" s="22"/>
      <c r="N492" s="22"/>
      <c r="O492" s="22"/>
      <c r="P492" s="22"/>
      <c r="Q492" s="22"/>
      <c r="R492" s="22"/>
      <c r="S492" s="22"/>
      <c r="T492" s="22"/>
      <c r="U492" s="22"/>
      <c r="V492" s="22"/>
      <c r="W492" s="22"/>
      <c r="X492" s="22"/>
      <c r="Y492" s="22"/>
      <c r="AQ492" s="3"/>
    </row>
    <row r="493" spans="5:43" x14ac:dyDescent="0.25">
      <c r="E493" s="336"/>
      <c r="F493" s="2" t="s">
        <v>978</v>
      </c>
      <c r="G493" t="s">
        <v>208</v>
      </c>
      <c r="J493" s="121">
        <f t="shared" ref="J493:Y493" si="126">J355</f>
        <v>0</v>
      </c>
      <c r="K493" s="121">
        <f t="shared" si="126"/>
        <v>25948.408931906615</v>
      </c>
      <c r="L493" s="121">
        <f t="shared" si="126"/>
        <v>13.339105581449177</v>
      </c>
      <c r="M493" s="121">
        <f t="shared" si="126"/>
        <v>10781.362867132962</v>
      </c>
      <c r="N493" s="121">
        <f t="shared" si="126"/>
        <v>739.22191634681985</v>
      </c>
      <c r="O493" s="121">
        <f t="shared" si="126"/>
        <v>293.4416559359554</v>
      </c>
      <c r="P493" s="121">
        <f t="shared" si="126"/>
        <v>3102.6282668709232</v>
      </c>
      <c r="Q493" s="121">
        <f t="shared" si="126"/>
        <v>0</v>
      </c>
      <c r="R493" s="121">
        <f t="shared" si="126"/>
        <v>2254.3906596998399</v>
      </c>
      <c r="S493" s="121">
        <f t="shared" si="126"/>
        <v>0</v>
      </c>
      <c r="T493" s="121">
        <f t="shared" si="126"/>
        <v>27528.063337650925</v>
      </c>
      <c r="U493" s="121">
        <f t="shared" si="126"/>
        <v>0</v>
      </c>
      <c r="V493" s="121">
        <f t="shared" si="126"/>
        <v>6962.9505694314412</v>
      </c>
      <c r="W493" s="121">
        <f t="shared" si="126"/>
        <v>0</v>
      </c>
      <c r="X493" s="121">
        <f t="shared" si="126"/>
        <v>234787.57468174878</v>
      </c>
      <c r="Y493" s="121">
        <f t="shared" si="126"/>
        <v>0</v>
      </c>
      <c r="AQ493" s="3"/>
    </row>
    <row r="494" spans="5:43" x14ac:dyDescent="0.25">
      <c r="E494" s="336"/>
      <c r="F494" s="2" t="s">
        <v>979</v>
      </c>
      <c r="G494" t="s">
        <v>208</v>
      </c>
      <c r="J494" s="346">
        <f t="shared" ref="J494:Y494" si="127">J384</f>
        <v>2506644.8271904094</v>
      </c>
      <c r="K494" s="346">
        <f t="shared" si="127"/>
        <v>0</v>
      </c>
      <c r="L494" s="346">
        <f t="shared" si="127"/>
        <v>35598.7951094581</v>
      </c>
      <c r="M494" s="346">
        <f t="shared" si="127"/>
        <v>0</v>
      </c>
      <c r="N494" s="346">
        <f t="shared" si="127"/>
        <v>169992.30268842934</v>
      </c>
      <c r="O494" s="346">
        <f t="shared" si="127"/>
        <v>18732.700905477155</v>
      </c>
      <c r="P494" s="346">
        <f t="shared" si="127"/>
        <v>94016.820021513209</v>
      </c>
      <c r="Q494" s="346">
        <f t="shared" si="127"/>
        <v>69645.577244407395</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25">
      <c r="E495" s="336"/>
      <c r="F495" s="2" t="s">
        <v>980</v>
      </c>
      <c r="G495" t="s">
        <v>208</v>
      </c>
      <c r="J495" s="346">
        <f t="shared" ref="J495:Y495" si="128">J413</f>
        <v>0</v>
      </c>
      <c r="K495" s="346">
        <f t="shared" si="128"/>
        <v>0</v>
      </c>
      <c r="L495" s="346">
        <f t="shared" si="128"/>
        <v>142395.72765150815</v>
      </c>
      <c r="M495" s="346">
        <f t="shared" si="128"/>
        <v>0</v>
      </c>
      <c r="N495" s="346">
        <f t="shared" si="128"/>
        <v>195201.33204546099</v>
      </c>
      <c r="O495" s="346">
        <f t="shared" si="128"/>
        <v>45968.514752925774</v>
      </c>
      <c r="P495" s="346">
        <f t="shared" si="128"/>
        <v>289258.0126876306</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25">
      <c r="E496" s="336"/>
      <c r="F496" s="2" t="s">
        <v>982</v>
      </c>
      <c r="G496" t="s">
        <v>208</v>
      </c>
      <c r="J496" s="91">
        <f t="shared" ref="J496:Y496" si="129">J442</f>
        <v>0</v>
      </c>
      <c r="K496" s="91">
        <f t="shared" si="129"/>
        <v>0</v>
      </c>
      <c r="L496" s="91">
        <f t="shared" si="129"/>
        <v>140249.47090054885</v>
      </c>
      <c r="M496" s="91">
        <f t="shared" si="129"/>
        <v>0</v>
      </c>
      <c r="N496" s="91">
        <f t="shared" si="129"/>
        <v>97483.045975375004</v>
      </c>
      <c r="O496" s="91">
        <f t="shared" si="129"/>
        <v>47070.623359506841</v>
      </c>
      <c r="P496" s="91">
        <f t="shared" si="129"/>
        <v>197624.34008137771</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36"/>
      <c r="F497" s="2" t="s">
        <v>981</v>
      </c>
      <c r="G497" t="s">
        <v>208</v>
      </c>
      <c r="J497" s="91">
        <f t="shared" ref="J497:Y497" si="130">J471</f>
        <v>0</v>
      </c>
      <c r="K497" s="91">
        <f t="shared" si="130"/>
        <v>0</v>
      </c>
      <c r="L497" s="91">
        <f t="shared" si="130"/>
        <v>465597.76172118366</v>
      </c>
      <c r="M497" s="91">
        <f t="shared" si="130"/>
        <v>0</v>
      </c>
      <c r="N497" s="91">
        <f t="shared" si="130"/>
        <v>115691.48493199963</v>
      </c>
      <c r="O497" s="91">
        <f t="shared" si="130"/>
        <v>194340.03818956178</v>
      </c>
      <c r="P497" s="91">
        <f t="shared" si="130"/>
        <v>527282.62655353185</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213</v>
      </c>
      <c r="F498" s="2"/>
      <c r="J498" s="22"/>
      <c r="K498" s="22"/>
      <c r="L498" s="22"/>
      <c r="M498" s="22"/>
      <c r="N498" s="22"/>
      <c r="O498" s="22"/>
      <c r="P498" s="22"/>
      <c r="Q498" s="22"/>
      <c r="R498" s="22"/>
      <c r="S498" s="22"/>
      <c r="T498" s="22"/>
      <c r="U498" s="22"/>
      <c r="V498" s="22"/>
      <c r="W498" s="22"/>
      <c r="X498" s="22"/>
      <c r="Y498" s="22"/>
      <c r="AQ498" s="3"/>
    </row>
    <row r="499" spans="5:43" x14ac:dyDescent="0.25">
      <c r="E499" s="336"/>
      <c r="F499" s="2" t="s">
        <v>978</v>
      </c>
      <c r="G499" t="s">
        <v>213</v>
      </c>
      <c r="J499" s="121">
        <f t="shared" ref="J499:Y499" si="131">J356</f>
        <v>0</v>
      </c>
      <c r="K499" s="121">
        <f t="shared" si="131"/>
        <v>0</v>
      </c>
      <c r="L499" s="121">
        <f t="shared" si="131"/>
        <v>57.046666973825495</v>
      </c>
      <c r="M499" s="121">
        <f t="shared" si="131"/>
        <v>0</v>
      </c>
      <c r="N499" s="121">
        <f t="shared" si="131"/>
        <v>59.338384301213082</v>
      </c>
      <c r="O499" s="121">
        <f t="shared" si="131"/>
        <v>8.0346264376467342</v>
      </c>
      <c r="P499" s="121">
        <f t="shared" si="131"/>
        <v>144.04883870416532</v>
      </c>
      <c r="Q499" s="121">
        <f t="shared" si="131"/>
        <v>0</v>
      </c>
      <c r="R499" s="121">
        <f t="shared" si="131"/>
        <v>0</v>
      </c>
      <c r="S499" s="121">
        <f t="shared" si="131"/>
        <v>0</v>
      </c>
      <c r="T499" s="121">
        <f t="shared" si="131"/>
        <v>0</v>
      </c>
      <c r="U499" s="121">
        <f t="shared" si="131"/>
        <v>0</v>
      </c>
      <c r="V499" s="121">
        <f t="shared" si="131"/>
        <v>0</v>
      </c>
      <c r="W499" s="121">
        <f t="shared" si="131"/>
        <v>0</v>
      </c>
      <c r="X499" s="121">
        <f t="shared" si="131"/>
        <v>272.95468099853321</v>
      </c>
      <c r="Y499" s="121">
        <f t="shared" si="131"/>
        <v>0</v>
      </c>
      <c r="AQ499" s="3"/>
    </row>
    <row r="500" spans="5:43" x14ac:dyDescent="0.25">
      <c r="E500" s="336"/>
      <c r="F500" s="2" t="s">
        <v>979</v>
      </c>
      <c r="G500" t="s">
        <v>213</v>
      </c>
      <c r="J500" s="346">
        <f t="shared" ref="J500:Y500" si="132">J385</f>
        <v>1535048.510066451</v>
      </c>
      <c r="K500" s="346">
        <f t="shared" si="132"/>
        <v>0</v>
      </c>
      <c r="L500" s="346">
        <f t="shared" si="132"/>
        <v>65554.202849239358</v>
      </c>
      <c r="M500" s="346">
        <f t="shared" si="132"/>
        <v>0</v>
      </c>
      <c r="N500" s="346">
        <f t="shared" si="132"/>
        <v>4025.3263737509701</v>
      </c>
      <c r="O500" s="346">
        <f t="shared" si="132"/>
        <v>344.10867093316392</v>
      </c>
      <c r="P500" s="346">
        <f t="shared" si="132"/>
        <v>324.56593594261994</v>
      </c>
      <c r="Q500" s="346">
        <f t="shared" si="132"/>
        <v>2539</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25">
      <c r="E501" s="336"/>
      <c r="F501" s="2" t="s">
        <v>980</v>
      </c>
      <c r="G501" t="s">
        <v>213</v>
      </c>
      <c r="J501" s="346">
        <f t="shared" ref="J501:Y501" si="133">J414</f>
        <v>0</v>
      </c>
      <c r="K501" s="346">
        <f t="shared" si="133"/>
        <v>0</v>
      </c>
      <c r="L501" s="346">
        <f t="shared" si="133"/>
        <v>44434.768353792591</v>
      </c>
      <c r="M501" s="346">
        <f t="shared" si="133"/>
        <v>0</v>
      </c>
      <c r="N501" s="346">
        <f t="shared" si="133"/>
        <v>2584.2369665669521</v>
      </c>
      <c r="O501" s="346">
        <f t="shared" si="133"/>
        <v>467.03276502301753</v>
      </c>
      <c r="P501" s="346">
        <f t="shared" si="133"/>
        <v>403.44248334211352</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25">
      <c r="E502" s="336"/>
      <c r="F502" s="2" t="s">
        <v>982</v>
      </c>
      <c r="G502" t="s">
        <v>213</v>
      </c>
      <c r="J502" s="91">
        <f t="shared" ref="J502:Y502" si="134">J443</f>
        <v>0</v>
      </c>
      <c r="K502" s="91">
        <f t="shared" si="134"/>
        <v>0</v>
      </c>
      <c r="L502" s="91">
        <f t="shared" si="134"/>
        <v>18243.781096903222</v>
      </c>
      <c r="M502" s="91">
        <f t="shared" si="134"/>
        <v>0</v>
      </c>
      <c r="N502" s="91">
        <f t="shared" si="134"/>
        <v>860.15947403315749</v>
      </c>
      <c r="O502" s="91">
        <f t="shared" si="134"/>
        <v>314.04078868536357</v>
      </c>
      <c r="P502" s="91">
        <f t="shared" si="134"/>
        <v>124.32468778135895</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36"/>
      <c r="F503" s="2" t="s">
        <v>981</v>
      </c>
      <c r="G503" t="s">
        <v>213</v>
      </c>
      <c r="J503" s="91">
        <f t="shared" ref="J503:Y503" si="135">J472</f>
        <v>0</v>
      </c>
      <c r="K503" s="91">
        <f t="shared" si="135"/>
        <v>0</v>
      </c>
      <c r="L503" s="91">
        <f t="shared" si="135"/>
        <v>18570.349705614339</v>
      </c>
      <c r="M503" s="91">
        <f t="shared" si="135"/>
        <v>0</v>
      </c>
      <c r="N503" s="91">
        <f t="shared" si="135"/>
        <v>562.70551517850458</v>
      </c>
      <c r="O503" s="91">
        <f t="shared" si="135"/>
        <v>601.38458398900048</v>
      </c>
      <c r="P503" s="91">
        <f t="shared" si="135"/>
        <v>131.1966818180816</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251</v>
      </c>
      <c r="F504" s="2"/>
      <c r="J504" s="22"/>
      <c r="K504" s="22"/>
      <c r="L504" s="22"/>
      <c r="M504" s="22"/>
      <c r="N504" s="22"/>
      <c r="O504" s="22"/>
      <c r="P504" s="22"/>
      <c r="Q504" s="22"/>
      <c r="R504" s="22"/>
      <c r="S504" s="22"/>
      <c r="T504" s="22"/>
      <c r="U504" s="22"/>
      <c r="V504" s="22"/>
      <c r="W504" s="22"/>
      <c r="X504" s="22"/>
      <c r="Y504" s="22"/>
      <c r="AQ504" s="3"/>
    </row>
    <row r="505" spans="5:43" x14ac:dyDescent="0.25">
      <c r="E505" s="336"/>
      <c r="F505" s="2" t="s">
        <v>978</v>
      </c>
      <c r="G505" t="s">
        <v>252</v>
      </c>
      <c r="J505" s="121">
        <f t="shared" ref="J505:Y505" si="136">J357</f>
        <v>0</v>
      </c>
      <c r="K505" s="121">
        <f t="shared" si="136"/>
        <v>0</v>
      </c>
      <c r="L505" s="121">
        <f t="shared" si="136"/>
        <v>0</v>
      </c>
      <c r="M505" s="121">
        <f t="shared" si="136"/>
        <v>0</v>
      </c>
      <c r="N505" s="121">
        <f t="shared" si="136"/>
        <v>2001.0160798988677</v>
      </c>
      <c r="O505" s="121">
        <f t="shared" si="136"/>
        <v>708.6544455600615</v>
      </c>
      <c r="P505" s="121">
        <f t="shared" si="136"/>
        <v>20696.442651176971</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36"/>
      <c r="F506" s="2" t="s">
        <v>979</v>
      </c>
      <c r="G506" t="s">
        <v>252</v>
      </c>
      <c r="J506" s="346">
        <f t="shared" ref="J506:Y506" si="137">J386</f>
        <v>0</v>
      </c>
      <c r="K506" s="346">
        <f t="shared" si="137"/>
        <v>0</v>
      </c>
      <c r="L506" s="346">
        <f t="shared" si="137"/>
        <v>0</v>
      </c>
      <c r="M506" s="346">
        <f t="shared" si="137"/>
        <v>0</v>
      </c>
      <c r="N506" s="346">
        <f t="shared" si="137"/>
        <v>189615.2392912439</v>
      </c>
      <c r="O506" s="346">
        <f t="shared" si="137"/>
        <v>19727.153727609912</v>
      </c>
      <c r="P506" s="346">
        <f t="shared" si="137"/>
        <v>81352.508270796854</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25">
      <c r="E507" s="336"/>
      <c r="F507" s="2" t="s">
        <v>980</v>
      </c>
      <c r="G507" t="s">
        <v>252</v>
      </c>
      <c r="J507" s="346">
        <f t="shared" ref="J507:Y507" si="138">J415</f>
        <v>0</v>
      </c>
      <c r="K507" s="346">
        <f t="shared" si="138"/>
        <v>0</v>
      </c>
      <c r="L507" s="346">
        <f t="shared" si="138"/>
        <v>0</v>
      </c>
      <c r="M507" s="346">
        <f t="shared" si="138"/>
        <v>0</v>
      </c>
      <c r="N507" s="346">
        <f t="shared" si="138"/>
        <v>299367.06592851254</v>
      </c>
      <c r="O507" s="346">
        <f t="shared" si="138"/>
        <v>56293.787378130051</v>
      </c>
      <c r="P507" s="346">
        <f t="shared" si="138"/>
        <v>274503.83189206367</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25">
      <c r="E508" s="336"/>
      <c r="F508" s="2" t="s">
        <v>982</v>
      </c>
      <c r="G508" t="s">
        <v>252</v>
      </c>
      <c r="J508" s="91">
        <f t="shared" ref="J508:Y508" si="139">J444</f>
        <v>0</v>
      </c>
      <c r="K508" s="91">
        <f t="shared" si="139"/>
        <v>0</v>
      </c>
      <c r="L508" s="91">
        <f t="shared" si="139"/>
        <v>0</v>
      </c>
      <c r="M508" s="91">
        <f t="shared" si="139"/>
        <v>0</v>
      </c>
      <c r="N508" s="91">
        <f t="shared" si="139"/>
        <v>161239.78623492466</v>
      </c>
      <c r="O508" s="91">
        <f t="shared" si="139"/>
        <v>59936.708512947487</v>
      </c>
      <c r="P508" s="91">
        <f t="shared" si="139"/>
        <v>168230.85961565486</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36"/>
      <c r="F509" s="2" t="s">
        <v>981</v>
      </c>
      <c r="G509" t="s">
        <v>252</v>
      </c>
      <c r="J509" s="91">
        <f>J473</f>
        <v>0</v>
      </c>
      <c r="K509" s="91">
        <f t="shared" ref="K509:Y509" si="140">K473</f>
        <v>0</v>
      </c>
      <c r="L509" s="91">
        <f t="shared" si="140"/>
        <v>0</v>
      </c>
      <c r="M509" s="91">
        <f t="shared" si="140"/>
        <v>0</v>
      </c>
      <c r="N509" s="91">
        <f t="shared" si="140"/>
        <v>195617.67908765882</v>
      </c>
      <c r="O509" s="91">
        <f t="shared" si="140"/>
        <v>240302.63531075654</v>
      </c>
      <c r="P509" s="91">
        <f t="shared" si="140"/>
        <v>425484.27704363974</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253</v>
      </c>
      <c r="F510" s="2"/>
      <c r="J510" s="22"/>
      <c r="K510" s="22"/>
      <c r="L510" s="22"/>
      <c r="M510" s="22"/>
      <c r="N510" s="22"/>
      <c r="O510" s="22"/>
      <c r="P510" s="22"/>
      <c r="Q510" s="22"/>
      <c r="R510" s="22"/>
      <c r="S510" s="22"/>
      <c r="T510" s="22"/>
      <c r="U510" s="22"/>
      <c r="V510" s="22"/>
      <c r="W510" s="22"/>
      <c r="X510" s="22"/>
      <c r="Y510" s="22"/>
      <c r="AQ510" s="3"/>
    </row>
    <row r="511" spans="5:43" x14ac:dyDescent="0.25">
      <c r="E511" s="336"/>
      <c r="F511" s="2" t="s">
        <v>978</v>
      </c>
      <c r="G511" t="s">
        <v>252</v>
      </c>
      <c r="J511" s="121">
        <f t="shared" ref="J511:Y511" si="141">J358</f>
        <v>0</v>
      </c>
      <c r="K511" s="121">
        <f t="shared" si="141"/>
        <v>0</v>
      </c>
      <c r="L511" s="121">
        <f t="shared" si="141"/>
        <v>0</v>
      </c>
      <c r="M511" s="121">
        <f t="shared" si="141"/>
        <v>0</v>
      </c>
      <c r="N511" s="121">
        <f t="shared" si="141"/>
        <v>319.69556121986091</v>
      </c>
      <c r="O511" s="121">
        <f t="shared" si="141"/>
        <v>29.468858762938101</v>
      </c>
      <c r="P511" s="121">
        <f t="shared" si="141"/>
        <v>851.6203571790702</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36"/>
      <c r="F512" s="2" t="s">
        <v>979</v>
      </c>
      <c r="G512" t="s">
        <v>252</v>
      </c>
      <c r="J512" s="346">
        <f t="shared" ref="J512:Y512" si="142">J387</f>
        <v>0</v>
      </c>
      <c r="K512" s="346">
        <f t="shared" si="142"/>
        <v>0</v>
      </c>
      <c r="L512" s="346">
        <f t="shared" si="142"/>
        <v>0</v>
      </c>
      <c r="M512" s="346">
        <f t="shared" si="142"/>
        <v>0</v>
      </c>
      <c r="N512" s="346">
        <f t="shared" si="142"/>
        <v>17303.808705338859</v>
      </c>
      <c r="O512" s="346">
        <f t="shared" si="142"/>
        <v>1667.9217436686849</v>
      </c>
      <c r="P512" s="346">
        <f t="shared" si="142"/>
        <v>2169.057862955141</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25">
      <c r="E513" s="336"/>
      <c r="F513" s="2" t="s">
        <v>980</v>
      </c>
      <c r="G513" t="s">
        <v>252</v>
      </c>
      <c r="J513" s="346">
        <f t="shared" ref="J513:Y513" si="143">J416</f>
        <v>0</v>
      </c>
      <c r="K513" s="346">
        <f t="shared" si="143"/>
        <v>0</v>
      </c>
      <c r="L513" s="346">
        <f t="shared" si="143"/>
        <v>0</v>
      </c>
      <c r="M513" s="346">
        <f t="shared" si="143"/>
        <v>0</v>
      </c>
      <c r="N513" s="346">
        <f t="shared" si="143"/>
        <v>2281.4427139516292</v>
      </c>
      <c r="O513" s="346">
        <f t="shared" si="143"/>
        <v>653.79682996340705</v>
      </c>
      <c r="P513" s="346">
        <f t="shared" si="143"/>
        <v>1457.0461477210777</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25">
      <c r="E514" s="336"/>
      <c r="F514" s="2" t="s">
        <v>982</v>
      </c>
      <c r="G514" t="s">
        <v>252</v>
      </c>
      <c r="J514" s="91">
        <f t="shared" ref="J514:Y514" si="144">J445</f>
        <v>0</v>
      </c>
      <c r="K514" s="91">
        <f t="shared" si="144"/>
        <v>0</v>
      </c>
      <c r="L514" s="91">
        <f t="shared" si="144"/>
        <v>0</v>
      </c>
      <c r="M514" s="91">
        <f t="shared" si="144"/>
        <v>0</v>
      </c>
      <c r="N514" s="91">
        <f t="shared" si="144"/>
        <v>547.09753214567263</v>
      </c>
      <c r="O514" s="91">
        <f t="shared" si="144"/>
        <v>357.66623596231426</v>
      </c>
      <c r="P514" s="91">
        <f t="shared" si="144"/>
        <v>621.98643401730124</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36"/>
      <c r="F515" s="2" t="s">
        <v>981</v>
      </c>
      <c r="G515" t="s">
        <v>252</v>
      </c>
      <c r="J515" s="91">
        <f t="shared" ref="J515:Y515" si="145">J474</f>
        <v>0</v>
      </c>
      <c r="K515" s="91">
        <f t="shared" si="145"/>
        <v>0</v>
      </c>
      <c r="L515" s="91">
        <f t="shared" si="145"/>
        <v>0</v>
      </c>
      <c r="M515" s="91">
        <f t="shared" si="145"/>
        <v>0</v>
      </c>
      <c r="N515" s="91">
        <f t="shared" si="145"/>
        <v>109.31547767164641</v>
      </c>
      <c r="O515" s="91">
        <f t="shared" si="145"/>
        <v>2401.1874249123075</v>
      </c>
      <c r="P515" s="91">
        <f t="shared" si="145"/>
        <v>116.79122459681906</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36" t="s">
        <v>254</v>
      </c>
      <c r="F516" s="2"/>
      <c r="J516" s="22"/>
      <c r="K516" s="22"/>
      <c r="L516" s="22"/>
      <c r="M516" s="22"/>
      <c r="N516" s="22"/>
      <c r="O516" s="22"/>
      <c r="P516" s="22"/>
      <c r="Q516" s="22"/>
      <c r="R516" s="22"/>
      <c r="S516" s="22"/>
      <c r="T516" s="22"/>
      <c r="U516" s="22"/>
      <c r="V516" s="22"/>
      <c r="W516" s="22"/>
      <c r="X516" s="22"/>
      <c r="Y516" s="22"/>
      <c r="AQ516" s="3"/>
    </row>
    <row r="517" spans="3:43" x14ac:dyDescent="0.25">
      <c r="E517" s="336"/>
      <c r="F517" s="2" t="s">
        <v>978</v>
      </c>
      <c r="G517" t="s">
        <v>255</v>
      </c>
      <c r="J517" s="121">
        <f t="shared" ref="J517:Y517" si="146">J359</f>
        <v>0</v>
      </c>
      <c r="K517" s="121">
        <f t="shared" si="146"/>
        <v>0</v>
      </c>
      <c r="L517" s="121">
        <f t="shared" si="146"/>
        <v>0</v>
      </c>
      <c r="M517" s="121">
        <f t="shared" si="146"/>
        <v>0</v>
      </c>
      <c r="N517" s="121">
        <f t="shared" si="146"/>
        <v>485.368605572511</v>
      </c>
      <c r="O517" s="121">
        <f t="shared" si="146"/>
        <v>244.49102695504459</v>
      </c>
      <c r="P517" s="121">
        <f t="shared" si="146"/>
        <v>4120.6902967102687</v>
      </c>
      <c r="Q517" s="121">
        <f t="shared" si="146"/>
        <v>0</v>
      </c>
      <c r="R517" s="121">
        <f t="shared" si="146"/>
        <v>0</v>
      </c>
      <c r="S517" s="121">
        <f t="shared" si="146"/>
        <v>0</v>
      </c>
      <c r="T517" s="121">
        <f t="shared" si="146"/>
        <v>5024.8064126525887</v>
      </c>
      <c r="U517" s="121">
        <f t="shared" si="146"/>
        <v>0</v>
      </c>
      <c r="V517" s="121">
        <f t="shared" si="146"/>
        <v>1539.6130000000001</v>
      </c>
      <c r="W517" s="121">
        <f t="shared" si="146"/>
        <v>0</v>
      </c>
      <c r="X517" s="121">
        <f t="shared" si="146"/>
        <v>7641.41</v>
      </c>
      <c r="Y517" s="121">
        <f t="shared" si="146"/>
        <v>0</v>
      </c>
      <c r="AQ517" s="3"/>
    </row>
    <row r="518" spans="3:43" x14ac:dyDescent="0.25">
      <c r="E518" s="336"/>
      <c r="F518" s="2" t="s">
        <v>979</v>
      </c>
      <c r="G518" t="s">
        <v>255</v>
      </c>
      <c r="J518" s="346">
        <f t="shared" ref="J518:Y518" si="147">J388</f>
        <v>0</v>
      </c>
      <c r="K518" s="346">
        <f t="shared" si="147"/>
        <v>0</v>
      </c>
      <c r="L518" s="346">
        <f t="shared" si="147"/>
        <v>0</v>
      </c>
      <c r="M518" s="346">
        <f t="shared" si="147"/>
        <v>0</v>
      </c>
      <c r="N518" s="346">
        <f t="shared" si="147"/>
        <v>30358.950582424444</v>
      </c>
      <c r="O518" s="346">
        <f t="shared" si="147"/>
        <v>5400.3002571836423</v>
      </c>
      <c r="P518" s="346">
        <f t="shared" si="147"/>
        <v>17082.861941525363</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25">
      <c r="E519" s="336"/>
      <c r="F519" s="2" t="s">
        <v>980</v>
      </c>
      <c r="G519" t="s">
        <v>255</v>
      </c>
      <c r="J519" s="346">
        <f t="shared" ref="J519:Y519" si="148">J417</f>
        <v>0</v>
      </c>
      <c r="K519" s="346">
        <f t="shared" si="148"/>
        <v>0</v>
      </c>
      <c r="L519" s="346">
        <f t="shared" si="148"/>
        <v>0</v>
      </c>
      <c r="M519" s="346">
        <f t="shared" si="148"/>
        <v>0</v>
      </c>
      <c r="N519" s="346">
        <f t="shared" si="148"/>
        <v>32447.94085793124</v>
      </c>
      <c r="O519" s="346">
        <f t="shared" si="148"/>
        <v>9695.5781829896223</v>
      </c>
      <c r="P519" s="346">
        <f t="shared" si="148"/>
        <v>36397.417464192331</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25">
      <c r="E520" s="336"/>
      <c r="F520" s="2" t="s">
        <v>982</v>
      </c>
      <c r="G520" t="s">
        <v>255</v>
      </c>
      <c r="J520" s="91">
        <f t="shared" ref="J520:Y520" si="149">J446</f>
        <v>0</v>
      </c>
      <c r="K520" s="91">
        <f t="shared" si="149"/>
        <v>0</v>
      </c>
      <c r="L520" s="91">
        <f t="shared" si="149"/>
        <v>0</v>
      </c>
      <c r="M520" s="91">
        <f t="shared" si="149"/>
        <v>0</v>
      </c>
      <c r="N520" s="91">
        <f t="shared" si="149"/>
        <v>17886.366283347139</v>
      </c>
      <c r="O520" s="91">
        <f t="shared" si="149"/>
        <v>9635.594456615172</v>
      </c>
      <c r="P520" s="91">
        <f t="shared" si="149"/>
        <v>32077.399798033177</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37" t="s">
        <v>981</v>
      </c>
      <c r="G521" s="28" t="s">
        <v>255</v>
      </c>
      <c r="H521" s="28"/>
      <c r="I521" s="28"/>
      <c r="J521" s="346">
        <f t="shared" ref="J521:Y521" si="150">J475</f>
        <v>0</v>
      </c>
      <c r="K521" s="346">
        <f t="shared" si="150"/>
        <v>0</v>
      </c>
      <c r="L521" s="346">
        <f t="shared" si="150"/>
        <v>0</v>
      </c>
      <c r="M521" s="346">
        <f t="shared" si="150"/>
        <v>0</v>
      </c>
      <c r="N521" s="346">
        <f t="shared" si="150"/>
        <v>22777.743285078395</v>
      </c>
      <c r="O521" s="346">
        <f t="shared" si="150"/>
        <v>39108.726928132797</v>
      </c>
      <c r="P521" s="346">
        <f t="shared" si="150"/>
        <v>66282.940263135126</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25">
      <c r="AQ522" s="3"/>
    </row>
    <row r="523" spans="3:43" x14ac:dyDescent="0.25">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248</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36"/>
      <c r="F527" s="2" t="s">
        <v>978</v>
      </c>
      <c r="G527" t="s">
        <v>208</v>
      </c>
      <c r="J527" s="121">
        <f>J58</f>
        <v>0</v>
      </c>
      <c r="K527" s="121">
        <f t="shared" ref="K527:Y527" si="151">K58</f>
        <v>35.655431680661394</v>
      </c>
      <c r="L527" s="121">
        <f t="shared" si="151"/>
        <v>1.9523606526883828</v>
      </c>
      <c r="M527" s="121">
        <f t="shared" si="151"/>
        <v>26.359392987120788</v>
      </c>
      <c r="N527" s="121">
        <f t="shared" si="151"/>
        <v>111.75875708433344</v>
      </c>
      <c r="O527" s="121">
        <f t="shared" si="151"/>
        <v>40.110581451170553</v>
      </c>
      <c r="P527" s="121">
        <f t="shared" si="151"/>
        <v>389.73469971862858</v>
      </c>
      <c r="Q527" s="121">
        <f t="shared" si="151"/>
        <v>0</v>
      </c>
      <c r="R527" s="121">
        <f t="shared" si="151"/>
        <v>449.17098617729391</v>
      </c>
      <c r="S527" s="121">
        <f t="shared" si="151"/>
        <v>0</v>
      </c>
      <c r="T527" s="121">
        <f t="shared" si="151"/>
        <v>3293.4038045794673</v>
      </c>
      <c r="U527" s="121">
        <f t="shared" si="151"/>
        <v>0</v>
      </c>
      <c r="V527" s="121">
        <f t="shared" si="151"/>
        <v>811.80541464978148</v>
      </c>
      <c r="W527" s="121">
        <f t="shared" si="151"/>
        <v>0</v>
      </c>
      <c r="X527" s="121">
        <f t="shared" si="151"/>
        <v>36268.325369716345</v>
      </c>
      <c r="Y527" s="121">
        <f t="shared" si="151"/>
        <v>0</v>
      </c>
      <c r="AQ527" s="3"/>
    </row>
    <row r="528" spans="3:43" x14ac:dyDescent="0.25">
      <c r="E528" s="336"/>
      <c r="F528" s="2" t="s">
        <v>979</v>
      </c>
      <c r="G528" t="s">
        <v>208</v>
      </c>
      <c r="J528" s="346">
        <f>J67</f>
        <v>420426.20138777059</v>
      </c>
      <c r="K528" s="346">
        <f t="shared" ref="K528:Y528" si="152">K67</f>
        <v>0</v>
      </c>
      <c r="L528" s="346">
        <f t="shared" si="152"/>
        <v>5210.3708476135234</v>
      </c>
      <c r="M528" s="346">
        <f t="shared" si="152"/>
        <v>0</v>
      </c>
      <c r="N528" s="346">
        <f t="shared" si="152"/>
        <v>25700.169383843495</v>
      </c>
      <c r="O528" s="346">
        <f t="shared" si="152"/>
        <v>2560.5755361247989</v>
      </c>
      <c r="P528" s="346">
        <f t="shared" si="152"/>
        <v>11809.863756749297</v>
      </c>
      <c r="Q528" s="346">
        <f t="shared" si="152"/>
        <v>3026.8327703338973</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25">
      <c r="E529" s="336"/>
      <c r="F529" s="2" t="s">
        <v>980</v>
      </c>
      <c r="G529" t="s">
        <v>208</v>
      </c>
      <c r="J529" s="346">
        <f>J76</f>
        <v>0</v>
      </c>
      <c r="K529" s="346">
        <f t="shared" ref="K529:Y529" si="153">K76</f>
        <v>0</v>
      </c>
      <c r="L529" s="346">
        <f t="shared" si="153"/>
        <v>20841.563482664376</v>
      </c>
      <c r="M529" s="346">
        <f t="shared" si="153"/>
        <v>0</v>
      </c>
      <c r="N529" s="346">
        <f t="shared" si="153"/>
        <v>29511.379151767269</v>
      </c>
      <c r="O529" s="346">
        <f t="shared" si="153"/>
        <v>6283.4427828780554</v>
      </c>
      <c r="P529" s="346">
        <f t="shared" si="153"/>
        <v>36334.963462998385</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25">
      <c r="E530" s="336"/>
      <c r="F530" s="2" t="s">
        <v>982</v>
      </c>
      <c r="G530" t="s">
        <v>208</v>
      </c>
      <c r="J530" s="91">
        <f>J85</f>
        <v>0</v>
      </c>
      <c r="K530" s="91">
        <f t="shared" ref="K530:Y530" si="154">K85</f>
        <v>0</v>
      </c>
      <c r="L530" s="91">
        <f t="shared" si="154"/>
        <v>20527.429434803831</v>
      </c>
      <c r="M530" s="91">
        <f t="shared" si="154"/>
        <v>0</v>
      </c>
      <c r="N530" s="91">
        <f t="shared" si="154"/>
        <v>14737.907269907626</v>
      </c>
      <c r="O530" s="91">
        <f t="shared" si="154"/>
        <v>6434.0901641822084</v>
      </c>
      <c r="P530" s="91">
        <f t="shared" si="154"/>
        <v>24824.457270991577</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36"/>
      <c r="F531" s="2" t="s">
        <v>981</v>
      </c>
      <c r="G531" t="s">
        <v>208</v>
      </c>
      <c r="J531" s="91">
        <f>J94</f>
        <v>0</v>
      </c>
      <c r="K531" s="91">
        <f t="shared" ref="K531:Y531" si="155">K94</f>
        <v>0</v>
      </c>
      <c r="L531" s="91">
        <f t="shared" si="155"/>
        <v>68146.604314189986</v>
      </c>
      <c r="M531" s="91">
        <f t="shared" si="155"/>
        <v>0</v>
      </c>
      <c r="N531" s="91">
        <f t="shared" si="155"/>
        <v>17490.73759222127</v>
      </c>
      <c r="O531" s="91">
        <f t="shared" si="155"/>
        <v>26564.367305531145</v>
      </c>
      <c r="P531" s="91">
        <f t="shared" si="155"/>
        <v>66234.275733567876</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249</v>
      </c>
      <c r="F532" s="2"/>
      <c r="J532" s="22"/>
      <c r="K532" s="22"/>
      <c r="L532" s="22"/>
      <c r="M532" s="22"/>
      <c r="N532" s="22"/>
      <c r="O532" s="22"/>
      <c r="P532" s="22"/>
      <c r="Q532" s="22"/>
      <c r="R532" s="22"/>
      <c r="S532" s="22"/>
      <c r="T532" s="22"/>
      <c r="U532" s="22"/>
      <c r="V532" s="22"/>
      <c r="W532" s="22"/>
      <c r="X532" s="22"/>
      <c r="Y532" s="22"/>
      <c r="AQ532" s="3"/>
    </row>
    <row r="533" spans="5:43" x14ac:dyDescent="0.25">
      <c r="E533" s="336"/>
      <c r="F533" s="2" t="s">
        <v>978</v>
      </c>
      <c r="G533" t="s">
        <v>208</v>
      </c>
      <c r="J533" s="121">
        <f>J59</f>
        <v>0</v>
      </c>
      <c r="K533" s="121">
        <f t="shared" ref="K533:Y533" si="156">K59</f>
        <v>3242.2928055299481</v>
      </c>
      <c r="L533" s="121">
        <f t="shared" si="156"/>
        <v>15.580031406218163</v>
      </c>
      <c r="M533" s="121">
        <f t="shared" si="156"/>
        <v>1539.4768248033429</v>
      </c>
      <c r="N533" s="121">
        <f t="shared" si="156"/>
        <v>806.29455203102941</v>
      </c>
      <c r="O533" s="121">
        <f t="shared" si="156"/>
        <v>294.40620957134337</v>
      </c>
      <c r="P533" s="121">
        <f t="shared" si="156"/>
        <v>2707.3592560779016</v>
      </c>
      <c r="Q533" s="121">
        <f t="shared" si="156"/>
        <v>0</v>
      </c>
      <c r="R533" s="121">
        <f t="shared" si="156"/>
        <v>4233.9521820488117</v>
      </c>
      <c r="S533" s="121">
        <f t="shared" si="156"/>
        <v>0</v>
      </c>
      <c r="T533" s="121">
        <f t="shared" si="156"/>
        <v>31747.078256598921</v>
      </c>
      <c r="U533" s="121">
        <f t="shared" si="156"/>
        <v>0</v>
      </c>
      <c r="V533" s="121">
        <f t="shared" si="156"/>
        <v>7185.4690196373358</v>
      </c>
      <c r="W533" s="121">
        <f t="shared" si="156"/>
        <v>0</v>
      </c>
      <c r="X533" s="121">
        <f t="shared" si="156"/>
        <v>289073.53494591836</v>
      </c>
      <c r="Y533" s="121">
        <f t="shared" si="156"/>
        <v>0</v>
      </c>
      <c r="AQ533" s="3"/>
    </row>
    <row r="534" spans="5:43" x14ac:dyDescent="0.25">
      <c r="E534" s="336"/>
      <c r="F534" s="2" t="s">
        <v>979</v>
      </c>
      <c r="G534" t="s">
        <v>208</v>
      </c>
      <c r="J534" s="346">
        <f>J68</f>
        <v>2200865.0471394388</v>
      </c>
      <c r="K534" s="346">
        <f t="shared" ref="K534:Y534" si="157">K68</f>
        <v>0</v>
      </c>
      <c r="L534" s="346">
        <f t="shared" si="157"/>
        <v>41579.275495068614</v>
      </c>
      <c r="M534" s="346">
        <f t="shared" si="157"/>
        <v>0</v>
      </c>
      <c r="N534" s="346">
        <f t="shared" si="157"/>
        <v>185416.4013727431</v>
      </c>
      <c r="O534" s="346">
        <f t="shared" si="157"/>
        <v>18794.275989973532</v>
      </c>
      <c r="P534" s="346">
        <f t="shared" si="157"/>
        <v>82039.253825583539</v>
      </c>
      <c r="Q534" s="346">
        <f t="shared" si="157"/>
        <v>28127.672923672086</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25">
      <c r="E535" s="336"/>
      <c r="F535" s="2" t="s">
        <v>980</v>
      </c>
      <c r="G535" t="s">
        <v>208</v>
      </c>
      <c r="J535" s="346">
        <f>J77</f>
        <v>0</v>
      </c>
      <c r="K535" s="346">
        <f t="shared" ref="K535:Y535" si="158">K77</f>
        <v>0</v>
      </c>
      <c r="L535" s="346">
        <f t="shared" si="158"/>
        <v>166317.74112404627</v>
      </c>
      <c r="M535" s="346">
        <f t="shared" si="158"/>
        <v>0</v>
      </c>
      <c r="N535" s="346">
        <f t="shared" si="158"/>
        <v>212912.74933414286</v>
      </c>
      <c r="O535" s="346">
        <f t="shared" si="158"/>
        <v>46119.614970367285</v>
      </c>
      <c r="P535" s="346">
        <f t="shared" si="158"/>
        <v>252407.08543997028</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25">
      <c r="E536" s="336"/>
      <c r="F536" s="2" t="s">
        <v>982</v>
      </c>
      <c r="G536" t="s">
        <v>208</v>
      </c>
      <c r="J536" s="91">
        <f>J86</f>
        <v>0</v>
      </c>
      <c r="K536" s="91">
        <f t="shared" ref="K536:Y536" si="159">K86</f>
        <v>0</v>
      </c>
      <c r="L536" s="91">
        <f t="shared" si="159"/>
        <v>163810.92030449613</v>
      </c>
      <c r="M536" s="91">
        <f t="shared" si="159"/>
        <v>0</v>
      </c>
      <c r="N536" s="91">
        <f t="shared" si="159"/>
        <v>106328.08247051286</v>
      </c>
      <c r="O536" s="91">
        <f t="shared" si="159"/>
        <v>47225.346248922717</v>
      </c>
      <c r="P536" s="91">
        <f t="shared" si="159"/>
        <v>172447.370527313</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36"/>
      <c r="F537" s="2" t="s">
        <v>981</v>
      </c>
      <c r="G537" t="s">
        <v>208</v>
      </c>
      <c r="J537" s="91">
        <f>J95</f>
        <v>0</v>
      </c>
      <c r="K537" s="91">
        <f t="shared" ref="K537:Y537" si="160">K95</f>
        <v>0</v>
      </c>
      <c r="L537" s="91">
        <f t="shared" si="160"/>
        <v>543816.65292230446</v>
      </c>
      <c r="M537" s="91">
        <f t="shared" si="160"/>
        <v>0</v>
      </c>
      <c r="N537" s="91">
        <f t="shared" si="160"/>
        <v>126188.64775822811</v>
      </c>
      <c r="O537" s="91">
        <f t="shared" si="160"/>
        <v>194978.84112208779</v>
      </c>
      <c r="P537" s="91">
        <f t="shared" si="160"/>
        <v>460107.81079116662</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250</v>
      </c>
      <c r="F538" s="2"/>
      <c r="J538" s="22"/>
      <c r="K538" s="22"/>
      <c r="L538" s="22"/>
      <c r="M538" s="22"/>
      <c r="N538" s="22"/>
      <c r="O538" s="22"/>
      <c r="P538" s="22"/>
      <c r="Q538" s="22"/>
      <c r="R538" s="22"/>
      <c r="S538" s="22"/>
      <c r="T538" s="22"/>
      <c r="U538" s="22"/>
      <c r="V538" s="22"/>
      <c r="W538" s="22"/>
      <c r="X538" s="22"/>
      <c r="Y538" s="22"/>
      <c r="AQ538" s="3"/>
    </row>
    <row r="539" spans="5:43" x14ac:dyDescent="0.25">
      <c r="E539" s="336"/>
      <c r="F539" s="2" t="s">
        <v>978</v>
      </c>
      <c r="G539" t="s">
        <v>208</v>
      </c>
      <c r="J539" s="121">
        <f>J60</f>
        <v>0</v>
      </c>
      <c r="K539" s="121">
        <f t="shared" ref="K539:Y539" si="161">K60</f>
        <v>25948.408931906615</v>
      </c>
      <c r="L539" s="121">
        <f t="shared" si="161"/>
        <v>13.281998779444473</v>
      </c>
      <c r="M539" s="121">
        <f t="shared" si="161"/>
        <v>10781.362867132962</v>
      </c>
      <c r="N539" s="121">
        <f t="shared" si="161"/>
        <v>717.48676559114074</v>
      </c>
      <c r="O539" s="121">
        <f t="shared" si="161"/>
        <v>290.56134775367269</v>
      </c>
      <c r="P539" s="121">
        <f t="shared" si="161"/>
        <v>3080.9106951208073</v>
      </c>
      <c r="Q539" s="121">
        <f t="shared" si="161"/>
        <v>0</v>
      </c>
      <c r="R539" s="121">
        <f t="shared" si="161"/>
        <v>2141.8426596998402</v>
      </c>
      <c r="S539" s="121">
        <f t="shared" si="161"/>
        <v>0</v>
      </c>
      <c r="T539" s="121">
        <f t="shared" si="161"/>
        <v>27458.669337650925</v>
      </c>
      <c r="U539" s="121">
        <f t="shared" si="161"/>
        <v>0</v>
      </c>
      <c r="V539" s="121">
        <f t="shared" si="161"/>
        <v>6962.9505694314412</v>
      </c>
      <c r="W539" s="121">
        <f t="shared" si="161"/>
        <v>0</v>
      </c>
      <c r="X539" s="121">
        <f t="shared" si="161"/>
        <v>234787.57468174878</v>
      </c>
      <c r="Y539" s="121">
        <f t="shared" si="161"/>
        <v>0</v>
      </c>
      <c r="AQ539" s="3"/>
    </row>
    <row r="540" spans="5:43" x14ac:dyDescent="0.25">
      <c r="E540" s="336"/>
      <c r="F540" s="2" t="s">
        <v>979</v>
      </c>
      <c r="G540" t="s">
        <v>208</v>
      </c>
      <c r="J540" s="346">
        <f>J69</f>
        <v>2467621.6811667914</v>
      </c>
      <c r="K540" s="346">
        <f t="shared" ref="K540:Y540" si="162">K69</f>
        <v>0</v>
      </c>
      <c r="L540" s="346">
        <f t="shared" si="162"/>
        <v>35446.391087201235</v>
      </c>
      <c r="M540" s="346">
        <f t="shared" si="162"/>
        <v>0</v>
      </c>
      <c r="N540" s="346">
        <f t="shared" si="162"/>
        <v>164994.06299269965</v>
      </c>
      <c r="O540" s="346">
        <f t="shared" si="162"/>
        <v>18548.828061922603</v>
      </c>
      <c r="P540" s="346">
        <f t="shared" si="162"/>
        <v>93358.727314650154</v>
      </c>
      <c r="Q540" s="346">
        <f t="shared" si="162"/>
        <v>69645.577244407395</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25">
      <c r="E541" s="336"/>
      <c r="F541" s="2" t="s">
        <v>980</v>
      </c>
      <c r="G541" t="s">
        <v>208</v>
      </c>
      <c r="J541" s="346">
        <f>J78</f>
        <v>0</v>
      </c>
      <c r="K541" s="346">
        <f t="shared" ref="K541:Y541" si="163">K78</f>
        <v>0</v>
      </c>
      <c r="L541" s="346">
        <f t="shared" si="163"/>
        <v>141786.10921977315</v>
      </c>
      <c r="M541" s="346">
        <f t="shared" si="163"/>
        <v>0</v>
      </c>
      <c r="N541" s="346">
        <f t="shared" si="163"/>
        <v>189461.87778159833</v>
      </c>
      <c r="O541" s="346">
        <f t="shared" si="163"/>
        <v>45517.305844811061</v>
      </c>
      <c r="P541" s="346">
        <f t="shared" si="163"/>
        <v>287233.28361779102</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25">
      <c r="E542" s="336"/>
      <c r="F542" s="2" t="s">
        <v>982</v>
      </c>
      <c r="G542" t="s">
        <v>208</v>
      </c>
      <c r="J542" s="91">
        <f>J87</f>
        <v>0</v>
      </c>
      <c r="K542" s="91">
        <f t="shared" ref="K542:Y542" si="164">K87</f>
        <v>0</v>
      </c>
      <c r="L542" s="91">
        <f t="shared" si="164"/>
        <v>139649.04093040747</v>
      </c>
      <c r="M542" s="91">
        <f t="shared" si="164"/>
        <v>0</v>
      </c>
      <c r="N542" s="91">
        <f t="shared" si="164"/>
        <v>94616.777195265546</v>
      </c>
      <c r="O542" s="91">
        <f t="shared" si="164"/>
        <v>46608.596585649189</v>
      </c>
      <c r="P542" s="91">
        <f t="shared" si="164"/>
        <v>196241.02232104057</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36"/>
      <c r="F543" s="2" t="s">
        <v>981</v>
      </c>
      <c r="G543" t="s">
        <v>208</v>
      </c>
      <c r="J543" s="91">
        <f>J96</f>
        <v>0</v>
      </c>
      <c r="K543" s="91">
        <f t="shared" ref="K543:Y543" si="165">K96</f>
        <v>0</v>
      </c>
      <c r="L543" s="91">
        <f t="shared" si="165"/>
        <v>463604.46471711597</v>
      </c>
      <c r="M543" s="91">
        <f t="shared" si="165"/>
        <v>0</v>
      </c>
      <c r="N543" s="91">
        <f t="shared" si="165"/>
        <v>112289.83813211547</v>
      </c>
      <c r="O543" s="91">
        <f t="shared" si="165"/>
        <v>192432.47261112632</v>
      </c>
      <c r="P543" s="91">
        <f t="shared" si="165"/>
        <v>523591.78856399894</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213</v>
      </c>
      <c r="F544" s="2"/>
      <c r="J544" s="22"/>
      <c r="K544" s="22"/>
      <c r="L544" s="22"/>
      <c r="M544" s="22"/>
      <c r="N544" s="22"/>
      <c r="O544" s="22"/>
      <c r="P544" s="22"/>
      <c r="Q544" s="22"/>
      <c r="R544" s="22"/>
      <c r="S544" s="22"/>
      <c r="T544" s="22"/>
      <c r="U544" s="22"/>
      <c r="V544" s="22"/>
      <c r="W544" s="22"/>
      <c r="X544" s="22"/>
      <c r="Y544" s="22"/>
      <c r="AQ544" s="3"/>
    </row>
    <row r="545" spans="5:43" x14ac:dyDescent="0.25">
      <c r="E545" s="336"/>
      <c r="F545" s="2" t="s">
        <v>978</v>
      </c>
      <c r="G545" t="s">
        <v>213</v>
      </c>
      <c r="J545" s="121">
        <f>J61</f>
        <v>0</v>
      </c>
      <c r="K545" s="121">
        <f t="shared" ref="K545:Y545" si="166">K61</f>
        <v>0</v>
      </c>
      <c r="L545" s="121">
        <f t="shared" si="166"/>
        <v>56.772481327714715</v>
      </c>
      <c r="M545" s="121">
        <f t="shared" si="166"/>
        <v>0</v>
      </c>
      <c r="N545" s="121">
        <f t="shared" si="166"/>
        <v>57.987950621209734</v>
      </c>
      <c r="O545" s="121">
        <f t="shared" si="166"/>
        <v>7.9998126031526322</v>
      </c>
      <c r="P545" s="121">
        <f t="shared" si="166"/>
        <v>142.99658547212053</v>
      </c>
      <c r="Q545" s="121">
        <f t="shared" si="166"/>
        <v>0</v>
      </c>
      <c r="R545" s="121">
        <f t="shared" si="166"/>
        <v>0</v>
      </c>
      <c r="S545" s="121">
        <f t="shared" si="166"/>
        <v>0</v>
      </c>
      <c r="T545" s="121">
        <f t="shared" si="166"/>
        <v>0</v>
      </c>
      <c r="U545" s="121">
        <f t="shared" si="166"/>
        <v>0</v>
      </c>
      <c r="V545" s="121">
        <f t="shared" si="166"/>
        <v>0</v>
      </c>
      <c r="W545" s="121">
        <f t="shared" si="166"/>
        <v>0</v>
      </c>
      <c r="X545" s="121">
        <f t="shared" si="166"/>
        <v>272.95468099853321</v>
      </c>
      <c r="Y545" s="121">
        <f t="shared" si="166"/>
        <v>0</v>
      </c>
      <c r="AQ545" s="3"/>
    </row>
    <row r="546" spans="5:43" x14ac:dyDescent="0.25">
      <c r="E546" s="336"/>
      <c r="F546" s="2" t="s">
        <v>979</v>
      </c>
      <c r="G546" t="s">
        <v>213</v>
      </c>
      <c r="J546" s="346">
        <f>J70</f>
        <v>1506295.0683282644</v>
      </c>
      <c r="K546" s="346">
        <f t="shared" ref="K546:Y546" si="167">K70</f>
        <v>0</v>
      </c>
      <c r="L546" s="346">
        <f t="shared" si="167"/>
        <v>65239.127097806886</v>
      </c>
      <c r="M546" s="346">
        <f t="shared" si="167"/>
        <v>0</v>
      </c>
      <c r="N546" s="346">
        <f t="shared" si="167"/>
        <v>3933.7172682430546</v>
      </c>
      <c r="O546" s="346">
        <f t="shared" si="167"/>
        <v>342.61765670732251</v>
      </c>
      <c r="P546" s="346">
        <f t="shared" si="167"/>
        <v>322.19503480811886</v>
      </c>
      <c r="Q546" s="346">
        <f t="shared" si="167"/>
        <v>2539</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25">
      <c r="E547" s="336"/>
      <c r="F547" s="2" t="s">
        <v>980</v>
      </c>
      <c r="G547" t="s">
        <v>213</v>
      </c>
      <c r="J547" s="346">
        <f>J79</f>
        <v>0</v>
      </c>
      <c r="K547" s="346">
        <f t="shared" ref="K547:Y547" si="168">K79</f>
        <v>0</v>
      </c>
      <c r="L547" s="346">
        <f t="shared" si="168"/>
        <v>44221.199773590401</v>
      </c>
      <c r="M547" s="346">
        <f t="shared" si="168"/>
        <v>0</v>
      </c>
      <c r="N547" s="346">
        <f t="shared" si="168"/>
        <v>2525.4244343778955</v>
      </c>
      <c r="O547" s="346">
        <f t="shared" si="168"/>
        <v>465.00912378580318</v>
      </c>
      <c r="P547" s="346">
        <f t="shared" si="168"/>
        <v>400.49540191570389</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25">
      <c r="E548" s="336"/>
      <c r="F548" s="2" t="s">
        <v>982</v>
      </c>
      <c r="G548" t="s">
        <v>213</v>
      </c>
      <c r="J548" s="91">
        <f>J88</f>
        <v>0</v>
      </c>
      <c r="K548" s="91">
        <f t="shared" ref="K548:Y548" si="169">K88</f>
        <v>0</v>
      </c>
      <c r="L548" s="91">
        <f t="shared" si="169"/>
        <v>18156.095292054128</v>
      </c>
      <c r="M548" s="91">
        <f t="shared" si="169"/>
        <v>0</v>
      </c>
      <c r="N548" s="91">
        <f t="shared" si="169"/>
        <v>840.58380918168632</v>
      </c>
      <c r="O548" s="91">
        <f t="shared" si="169"/>
        <v>312.68005783788288</v>
      </c>
      <c r="P548" s="91">
        <f t="shared" si="169"/>
        <v>123.41651624927486</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36"/>
      <c r="F549" s="2" t="s">
        <v>981</v>
      </c>
      <c r="G549" t="s">
        <v>213</v>
      </c>
      <c r="J549" s="91">
        <f>J97</f>
        <v>0</v>
      </c>
      <c r="K549" s="91">
        <f t="shared" ref="K549:Y549" si="170">K97</f>
        <v>0</v>
      </c>
      <c r="L549" s="91">
        <f t="shared" si="170"/>
        <v>18481.094301177247</v>
      </c>
      <c r="M549" s="91">
        <f t="shared" si="170"/>
        <v>0</v>
      </c>
      <c r="N549" s="91">
        <f t="shared" si="170"/>
        <v>549.89936131082754</v>
      </c>
      <c r="O549" s="91">
        <f t="shared" si="170"/>
        <v>598.77879969563264</v>
      </c>
      <c r="P549" s="91">
        <f t="shared" si="170"/>
        <v>130.23831149230517</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251</v>
      </c>
      <c r="F550" s="2"/>
      <c r="J550" s="22"/>
      <c r="K550" s="22"/>
      <c r="L550" s="22"/>
      <c r="M550" s="22"/>
      <c r="N550" s="22"/>
      <c r="O550" s="22"/>
      <c r="P550" s="22"/>
      <c r="Q550" s="22"/>
      <c r="R550" s="22"/>
      <c r="S550" s="22"/>
      <c r="T550" s="22"/>
      <c r="U550" s="22"/>
      <c r="V550" s="22"/>
      <c r="W550" s="22"/>
      <c r="X550" s="22"/>
      <c r="Y550" s="22"/>
      <c r="AQ550" s="3"/>
    </row>
    <row r="551" spans="5:43" x14ac:dyDescent="0.25">
      <c r="E551" s="336"/>
      <c r="F551" s="2" t="s">
        <v>978</v>
      </c>
      <c r="G551" t="s">
        <v>252</v>
      </c>
      <c r="J551" s="121">
        <f>J62</f>
        <v>0</v>
      </c>
      <c r="K551" s="121">
        <f t="shared" ref="K551:Y551" si="171">K62</f>
        <v>0</v>
      </c>
      <c r="L551" s="121">
        <f t="shared" si="171"/>
        <v>0</v>
      </c>
      <c r="M551" s="121">
        <f t="shared" si="171"/>
        <v>0</v>
      </c>
      <c r="N551" s="121">
        <f t="shared" si="171"/>
        <v>1922.0391617832861</v>
      </c>
      <c r="O551" s="121">
        <f t="shared" si="171"/>
        <v>700.00898471496794</v>
      </c>
      <c r="P551" s="121">
        <f t="shared" si="171"/>
        <v>20430.52101430605</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36"/>
      <c r="F552" s="2" t="s">
        <v>979</v>
      </c>
      <c r="G552" t="s">
        <v>252</v>
      </c>
      <c r="J552" s="346">
        <f>J71</f>
        <v>0</v>
      </c>
      <c r="K552" s="346">
        <f t="shared" ref="K552:Y552" si="172">K71</f>
        <v>0</v>
      </c>
      <c r="L552" s="346">
        <f t="shared" si="172"/>
        <v>0</v>
      </c>
      <c r="M552" s="346">
        <f t="shared" si="172"/>
        <v>0</v>
      </c>
      <c r="N552" s="346">
        <f t="shared" si="172"/>
        <v>182131.42775299386</v>
      </c>
      <c r="O552" s="346">
        <f t="shared" si="172"/>
        <v>19486.485887020266</v>
      </c>
      <c r="P552" s="346">
        <f t="shared" si="172"/>
        <v>80307.237229413557</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25">
      <c r="E553" s="336"/>
      <c r="F553" s="2" t="s">
        <v>980</v>
      </c>
      <c r="G553" t="s">
        <v>252</v>
      </c>
      <c r="J553" s="346">
        <f>J80</f>
        <v>0</v>
      </c>
      <c r="K553" s="346">
        <f t="shared" ref="K553:Y553" si="173">K80</f>
        <v>0</v>
      </c>
      <c r="L553" s="346">
        <f t="shared" si="173"/>
        <v>0</v>
      </c>
      <c r="M553" s="346">
        <f t="shared" si="173"/>
        <v>0</v>
      </c>
      <c r="N553" s="346">
        <f t="shared" si="173"/>
        <v>287551.52456937812</v>
      </c>
      <c r="O553" s="346">
        <f t="shared" si="173"/>
        <v>55607.012973977391</v>
      </c>
      <c r="P553" s="346">
        <f t="shared" si="173"/>
        <v>270976.82439930853</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25">
      <c r="E554" s="336"/>
      <c r="F554" s="2" t="s">
        <v>982</v>
      </c>
      <c r="G554" t="s">
        <v>252</v>
      </c>
      <c r="J554" s="91">
        <f>J89</f>
        <v>0</v>
      </c>
      <c r="K554" s="91">
        <f t="shared" ref="K554:Y554" si="174">K89</f>
        <v>0</v>
      </c>
      <c r="L554" s="91">
        <f t="shared" si="174"/>
        <v>0</v>
      </c>
      <c r="M554" s="91">
        <f t="shared" si="174"/>
        <v>0</v>
      </c>
      <c r="N554" s="91">
        <f t="shared" si="174"/>
        <v>154875.90864175055</v>
      </c>
      <c r="O554" s="91">
        <f t="shared" si="174"/>
        <v>59205.491105254587</v>
      </c>
      <c r="P554" s="91">
        <f t="shared" si="174"/>
        <v>166069.31783211298</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36"/>
      <c r="F555" s="2" t="s">
        <v>981</v>
      </c>
      <c r="G555" t="s">
        <v>252</v>
      </c>
      <c r="J555" s="91">
        <f>J98</f>
        <v>0</v>
      </c>
      <c r="K555" s="91">
        <f t="shared" ref="K555:Y555" si="175">K98</f>
        <v>0</v>
      </c>
      <c r="L555" s="91">
        <f t="shared" si="175"/>
        <v>0</v>
      </c>
      <c r="M555" s="91">
        <f t="shared" si="175"/>
        <v>0</v>
      </c>
      <c r="N555" s="91">
        <f t="shared" si="175"/>
        <v>187896.96080934943</v>
      </c>
      <c r="O555" s="91">
        <f t="shared" si="175"/>
        <v>237370.98500140154</v>
      </c>
      <c r="P555" s="91">
        <f t="shared" si="175"/>
        <v>420017.37254602788</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253</v>
      </c>
      <c r="F556" s="2"/>
      <c r="J556" s="22"/>
      <c r="K556" s="22"/>
      <c r="L556" s="22"/>
      <c r="M556" s="22"/>
      <c r="N556" s="22"/>
      <c r="O556" s="22"/>
      <c r="P556" s="22"/>
      <c r="Q556" s="22"/>
      <c r="R556" s="22"/>
      <c r="S556" s="22"/>
      <c r="T556" s="22"/>
      <c r="U556" s="22"/>
      <c r="V556" s="22"/>
      <c r="W556" s="22"/>
      <c r="X556" s="22"/>
      <c r="Y556" s="22"/>
      <c r="AQ556" s="3"/>
    </row>
    <row r="557" spans="5:43" x14ac:dyDescent="0.25">
      <c r="E557" s="336"/>
      <c r="F557" s="2" t="s">
        <v>978</v>
      </c>
      <c r="G557" t="s">
        <v>252</v>
      </c>
      <c r="J557" s="121">
        <f>J63</f>
        <v>0</v>
      </c>
      <c r="K557" s="121">
        <f t="shared" ref="K557:Y557" si="176">K63</f>
        <v>0</v>
      </c>
      <c r="L557" s="121">
        <f t="shared" si="176"/>
        <v>0</v>
      </c>
      <c r="M557" s="121">
        <f t="shared" si="176"/>
        <v>0</v>
      </c>
      <c r="N557" s="121">
        <f t="shared" si="176"/>
        <v>318.43570274788664</v>
      </c>
      <c r="O557" s="121">
        <f t="shared" si="176"/>
        <v>29.468858762938101</v>
      </c>
      <c r="P557" s="121">
        <f t="shared" si="176"/>
        <v>851.6203571790702</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36"/>
      <c r="F558" s="2" t="s">
        <v>979</v>
      </c>
      <c r="G558" t="s">
        <v>252</v>
      </c>
      <c r="J558" s="346">
        <f>J72</f>
        <v>0</v>
      </c>
      <c r="K558" s="346">
        <f t="shared" ref="K558:Y558" si="177">K72</f>
        <v>0</v>
      </c>
      <c r="L558" s="346">
        <f t="shared" si="177"/>
        <v>0</v>
      </c>
      <c r="M558" s="346">
        <f t="shared" si="177"/>
        <v>0</v>
      </c>
      <c r="N558" s="346">
        <f t="shared" si="177"/>
        <v>17235.617736682118</v>
      </c>
      <c r="O558" s="346">
        <f t="shared" si="177"/>
        <v>1667.9217436686849</v>
      </c>
      <c r="P558" s="346">
        <f t="shared" si="177"/>
        <v>2169.057862955141</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25">
      <c r="E559" s="336"/>
      <c r="F559" s="2" t="s">
        <v>980</v>
      </c>
      <c r="G559" t="s">
        <v>252</v>
      </c>
      <c r="J559" s="346">
        <f>J81</f>
        <v>0</v>
      </c>
      <c r="K559" s="346">
        <f t="shared" ref="K559:Y559" si="178">K81</f>
        <v>0</v>
      </c>
      <c r="L559" s="346">
        <f t="shared" si="178"/>
        <v>0</v>
      </c>
      <c r="M559" s="346">
        <f t="shared" si="178"/>
        <v>0</v>
      </c>
      <c r="N559" s="346">
        <f t="shared" si="178"/>
        <v>2272.451988773812</v>
      </c>
      <c r="O559" s="346">
        <f t="shared" si="178"/>
        <v>653.79682996340705</v>
      </c>
      <c r="P559" s="346">
        <f t="shared" si="178"/>
        <v>1457.0461477210777</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25">
      <c r="E560" s="336"/>
      <c r="F560" s="2" t="s">
        <v>982</v>
      </c>
      <c r="G560" t="s">
        <v>252</v>
      </c>
      <c r="J560" s="91">
        <f>J90</f>
        <v>0</v>
      </c>
      <c r="K560" s="91">
        <f t="shared" ref="K560:Y560" si="179">K90</f>
        <v>0</v>
      </c>
      <c r="L560" s="91">
        <f t="shared" si="179"/>
        <v>0</v>
      </c>
      <c r="M560" s="91">
        <f t="shared" si="179"/>
        <v>0</v>
      </c>
      <c r="N560" s="91">
        <f t="shared" si="179"/>
        <v>544.94152641872449</v>
      </c>
      <c r="O560" s="91">
        <f t="shared" si="179"/>
        <v>357.66623596231426</v>
      </c>
      <c r="P560" s="91">
        <f t="shared" si="179"/>
        <v>621.98643401730124</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36"/>
      <c r="F561" s="2" t="s">
        <v>981</v>
      </c>
      <c r="G561" t="s">
        <v>252</v>
      </c>
      <c r="J561" s="91">
        <f>J99</f>
        <v>0</v>
      </c>
      <c r="K561" s="91">
        <f t="shared" ref="K561:Y561" si="180">K99</f>
        <v>0</v>
      </c>
      <c r="L561" s="91">
        <f t="shared" si="180"/>
        <v>0</v>
      </c>
      <c r="M561" s="91">
        <f t="shared" si="180"/>
        <v>0</v>
      </c>
      <c r="N561" s="91">
        <f t="shared" si="180"/>
        <v>108.88468648350157</v>
      </c>
      <c r="O561" s="91">
        <f t="shared" si="180"/>
        <v>2401.1874249123075</v>
      </c>
      <c r="P561" s="91">
        <f t="shared" si="180"/>
        <v>116.79122459681906</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36" t="s">
        <v>254</v>
      </c>
      <c r="F562" s="2"/>
      <c r="J562" s="22"/>
      <c r="K562" s="22"/>
      <c r="L562" s="22"/>
      <c r="M562" s="22"/>
      <c r="N562" s="22"/>
      <c r="O562" s="22"/>
      <c r="P562" s="22"/>
      <c r="Q562" s="22"/>
      <c r="R562" s="22"/>
      <c r="S562" s="22"/>
      <c r="T562" s="22"/>
      <c r="U562" s="22"/>
      <c r="V562" s="22"/>
      <c r="W562" s="22"/>
      <c r="X562" s="22"/>
      <c r="Y562" s="22"/>
      <c r="AQ562" s="3"/>
    </row>
    <row r="563" spans="4:43" x14ac:dyDescent="0.25">
      <c r="E563" s="336"/>
      <c r="F563" s="2" t="s">
        <v>978</v>
      </c>
      <c r="G563" t="s">
        <v>255</v>
      </c>
      <c r="J563" s="121">
        <f>J64</f>
        <v>0</v>
      </c>
      <c r="K563" s="121">
        <f t="shared" ref="K563:Y563" si="181">K64</f>
        <v>0</v>
      </c>
      <c r="L563" s="121">
        <f t="shared" si="181"/>
        <v>0</v>
      </c>
      <c r="M563" s="121">
        <f t="shared" si="181"/>
        <v>0</v>
      </c>
      <c r="N563" s="121">
        <f t="shared" si="181"/>
        <v>478.10127999322674</v>
      </c>
      <c r="O563" s="121">
        <f t="shared" si="181"/>
        <v>244.17019087212714</v>
      </c>
      <c r="P563" s="121">
        <f t="shared" si="181"/>
        <v>4111.7595823091997</v>
      </c>
      <c r="Q563" s="121">
        <f t="shared" si="181"/>
        <v>0</v>
      </c>
      <c r="R563" s="121">
        <f t="shared" si="181"/>
        <v>0</v>
      </c>
      <c r="S563" s="121">
        <f t="shared" si="181"/>
        <v>0</v>
      </c>
      <c r="T563" s="121">
        <f t="shared" si="181"/>
        <v>5013.3740000000007</v>
      </c>
      <c r="U563" s="121">
        <f t="shared" si="181"/>
        <v>0</v>
      </c>
      <c r="V563" s="121">
        <f t="shared" si="181"/>
        <v>1539.6130000000001</v>
      </c>
      <c r="W563" s="121">
        <f t="shared" si="181"/>
        <v>0</v>
      </c>
      <c r="X563" s="121">
        <f t="shared" si="181"/>
        <v>7641.41</v>
      </c>
      <c r="Y563" s="121">
        <f t="shared" si="181"/>
        <v>0</v>
      </c>
      <c r="AQ563" s="3"/>
    </row>
    <row r="564" spans="4:43" x14ac:dyDescent="0.25">
      <c r="E564" s="336"/>
      <c r="F564" s="2" t="s">
        <v>979</v>
      </c>
      <c r="G564" t="s">
        <v>255</v>
      </c>
      <c r="J564" s="346">
        <f>J73</f>
        <v>0</v>
      </c>
      <c r="K564" s="346">
        <f t="shared" ref="K564:Y564" si="182">K73</f>
        <v>0</v>
      </c>
      <c r="L564" s="346">
        <f t="shared" si="182"/>
        <v>0</v>
      </c>
      <c r="M564" s="346">
        <f t="shared" si="182"/>
        <v>0</v>
      </c>
      <c r="N564" s="346">
        <f t="shared" si="182"/>
        <v>29904.392179604714</v>
      </c>
      <c r="O564" s="346">
        <f t="shared" si="182"/>
        <v>5393.2136528093579</v>
      </c>
      <c r="P564" s="346">
        <f t="shared" si="182"/>
        <v>17045.838493955318</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25">
      <c r="E565" s="336"/>
      <c r="F565" s="2" t="s">
        <v>980</v>
      </c>
      <c r="G565" t="s">
        <v>255</v>
      </c>
      <c r="J565" s="346">
        <f>J82</f>
        <v>0</v>
      </c>
      <c r="K565" s="346">
        <f t="shared" ref="K565:Y565" si="183">K82</f>
        <v>0</v>
      </c>
      <c r="L565" s="346">
        <f t="shared" si="183"/>
        <v>0</v>
      </c>
      <c r="M565" s="346">
        <f t="shared" si="183"/>
        <v>0</v>
      </c>
      <c r="N565" s="346">
        <f t="shared" si="183"/>
        <v>31962.104427876602</v>
      </c>
      <c r="O565" s="346">
        <f t="shared" si="183"/>
        <v>9682.8550521467787</v>
      </c>
      <c r="P565" s="346">
        <f t="shared" si="183"/>
        <v>36318.533850791755</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25">
      <c r="E566" s="336"/>
      <c r="F566" s="2" t="s">
        <v>982</v>
      </c>
      <c r="G566" t="s">
        <v>255</v>
      </c>
      <c r="J566" s="91">
        <f>J91</f>
        <v>0</v>
      </c>
      <c r="K566" s="91">
        <f t="shared" ref="K566:Y566" si="184">K91</f>
        <v>0</v>
      </c>
      <c r="L566" s="91">
        <f t="shared" si="184"/>
        <v>0</v>
      </c>
      <c r="M566" s="91">
        <f t="shared" si="184"/>
        <v>0</v>
      </c>
      <c r="N566" s="91">
        <f t="shared" si="184"/>
        <v>17618.557352734304</v>
      </c>
      <c r="O566" s="91">
        <f t="shared" si="184"/>
        <v>9622.9500400877296</v>
      </c>
      <c r="P566" s="91">
        <f t="shared" si="184"/>
        <v>32007.878898451414</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37" t="s">
        <v>981</v>
      </c>
      <c r="G567" s="28" t="s">
        <v>255</v>
      </c>
      <c r="H567" s="28"/>
      <c r="I567" s="28"/>
      <c r="J567" s="346">
        <f>J100</f>
        <v>0</v>
      </c>
      <c r="K567" s="346">
        <f t="shared" ref="K567:Y567" si="185">K100</f>
        <v>0</v>
      </c>
      <c r="L567" s="346">
        <f t="shared" si="185"/>
        <v>0</v>
      </c>
      <c r="M567" s="346">
        <f t="shared" si="185"/>
        <v>0</v>
      </c>
      <c r="N567" s="346">
        <f t="shared" si="185"/>
        <v>22436.69675979115</v>
      </c>
      <c r="O567" s="346">
        <f t="shared" si="185"/>
        <v>39057.406064084003</v>
      </c>
      <c r="P567" s="346">
        <f t="shared" si="185"/>
        <v>66139.286174492314</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25">
      <c r="AQ568" s="3"/>
    </row>
    <row r="569" spans="4:43" x14ac:dyDescent="0.25">
      <c r="D569" s="27" t="s">
        <v>1131</v>
      </c>
      <c r="AQ569" s="3"/>
    </row>
    <row r="570" spans="4:43" x14ac:dyDescent="0.25">
      <c r="E570" s="68" t="s">
        <v>248</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36"/>
      <c r="F571" s="2" t="s">
        <v>978</v>
      </c>
      <c r="G571" t="s">
        <v>208</v>
      </c>
      <c r="J571" s="121">
        <f>J105</f>
        <v>0</v>
      </c>
      <c r="K571" s="121">
        <f t="shared" ref="K571:Y571" si="186">K105</f>
        <v>0</v>
      </c>
      <c r="L571" s="121">
        <f t="shared" si="186"/>
        <v>2.9380428979096404E-3</v>
      </c>
      <c r="M571" s="121">
        <f t="shared" si="186"/>
        <v>0</v>
      </c>
      <c r="N571" s="121">
        <f t="shared" si="186"/>
        <v>0.37140663101225813</v>
      </c>
      <c r="O571" s="121">
        <f t="shared" si="186"/>
        <v>0</v>
      </c>
      <c r="P571" s="121">
        <f t="shared" si="186"/>
        <v>0</v>
      </c>
      <c r="Q571" s="121">
        <f t="shared" si="186"/>
        <v>0</v>
      </c>
      <c r="R571" s="121">
        <f t="shared" si="186"/>
        <v>2.4079999999999995</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36"/>
      <c r="F572" s="2" t="s">
        <v>979</v>
      </c>
      <c r="G572" t="s">
        <v>208</v>
      </c>
      <c r="J572" s="346">
        <f>J114</f>
        <v>3994.1255820240008</v>
      </c>
      <c r="K572" s="346">
        <f t="shared" ref="K572:Y572" si="187">K114</f>
        <v>0</v>
      </c>
      <c r="L572" s="346">
        <f t="shared" si="187"/>
        <v>7.8409145580899535</v>
      </c>
      <c r="M572" s="346">
        <f t="shared" si="187"/>
        <v>0</v>
      </c>
      <c r="N572" s="346">
        <f t="shared" si="187"/>
        <v>85.40908628837785</v>
      </c>
      <c r="O572" s="346">
        <f t="shared" si="187"/>
        <v>0</v>
      </c>
      <c r="P572" s="346">
        <f t="shared" si="187"/>
        <v>0</v>
      </c>
      <c r="Q572" s="346">
        <f t="shared" si="187"/>
        <v>0</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25">
      <c r="E573" s="336"/>
      <c r="F573" s="2" t="s">
        <v>980</v>
      </c>
      <c r="G573" t="s">
        <v>208</v>
      </c>
      <c r="J573" s="346">
        <f>J123</f>
        <v>0</v>
      </c>
      <c r="K573" s="346">
        <f t="shared" ref="K573:Y573" si="188">K123</f>
        <v>0</v>
      </c>
      <c r="L573" s="346">
        <f t="shared" si="188"/>
        <v>31.363778760474982</v>
      </c>
      <c r="M573" s="346">
        <f t="shared" si="188"/>
        <v>0</v>
      </c>
      <c r="N573" s="346">
        <f t="shared" si="188"/>
        <v>98.074837205036971</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25">
      <c r="E574" s="336"/>
      <c r="F574" s="2" t="s">
        <v>982</v>
      </c>
      <c r="G574" t="s">
        <v>208</v>
      </c>
      <c r="J574" s="91">
        <f>J132</f>
        <v>0</v>
      </c>
      <c r="K574" s="91">
        <f t="shared" ref="K574:Y574" si="189">K132</f>
        <v>0</v>
      </c>
      <c r="L574" s="91">
        <f t="shared" si="189"/>
        <v>30.891048833738648</v>
      </c>
      <c r="M574" s="91">
        <f t="shared" si="189"/>
        <v>0</v>
      </c>
      <c r="N574" s="91">
        <f t="shared" si="189"/>
        <v>48.978322863388222</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36"/>
      <c r="F575" s="2" t="s">
        <v>981</v>
      </c>
      <c r="G575" t="s">
        <v>208</v>
      </c>
      <c r="J575" s="91">
        <f>J141</f>
        <v>0</v>
      </c>
      <c r="K575" s="91">
        <f t="shared" ref="K575:Y575" si="190">K141</f>
        <v>0</v>
      </c>
      <c r="L575" s="91">
        <f t="shared" si="190"/>
        <v>102.55156830079855</v>
      </c>
      <c r="M575" s="91">
        <f t="shared" si="190"/>
        <v>0</v>
      </c>
      <c r="N575" s="91">
        <f t="shared" si="190"/>
        <v>58.126773172184862</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249</v>
      </c>
      <c r="F576" s="2"/>
      <c r="J576" s="22"/>
      <c r="K576" s="22"/>
      <c r="L576" s="22"/>
      <c r="M576" s="22"/>
      <c r="N576" s="22"/>
      <c r="O576" s="22"/>
      <c r="P576" s="22"/>
      <c r="Q576" s="22"/>
      <c r="R576" s="22"/>
      <c r="S576" s="22"/>
      <c r="T576" s="22"/>
      <c r="U576" s="22"/>
      <c r="V576" s="22"/>
      <c r="W576" s="22"/>
      <c r="X576" s="22"/>
      <c r="Y576" s="22"/>
      <c r="AQ576" s="3"/>
    </row>
    <row r="577" spans="5:43" x14ac:dyDescent="0.25">
      <c r="E577" s="336"/>
      <c r="F577" s="2" t="s">
        <v>978</v>
      </c>
      <c r="G577" t="s">
        <v>208</v>
      </c>
      <c r="J577" s="121">
        <f>J106</f>
        <v>0</v>
      </c>
      <c r="K577" s="121">
        <f t="shared" ref="K577:Y577" si="191">K106</f>
        <v>0</v>
      </c>
      <c r="L577" s="121">
        <f t="shared" si="191"/>
        <v>2.6322150556960952E-2</v>
      </c>
      <c r="M577" s="121">
        <f t="shared" si="191"/>
        <v>0</v>
      </c>
      <c r="N577" s="121">
        <f t="shared" si="191"/>
        <v>2.6522658325265001</v>
      </c>
      <c r="O577" s="121">
        <f t="shared" si="191"/>
        <v>0</v>
      </c>
      <c r="P577" s="121">
        <f t="shared" si="191"/>
        <v>0</v>
      </c>
      <c r="Q577" s="121">
        <f t="shared" si="191"/>
        <v>0</v>
      </c>
      <c r="R577" s="121">
        <f t="shared" si="191"/>
        <v>163.50900000000001</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36"/>
      <c r="F578" s="2" t="s">
        <v>979</v>
      </c>
      <c r="G578" t="s">
        <v>208</v>
      </c>
      <c r="J578" s="346">
        <f>J115</f>
        <v>20173.386095784008</v>
      </c>
      <c r="K578" s="346">
        <f t="shared" ref="K578:Y578" si="192">K115</f>
        <v>0</v>
      </c>
      <c r="L578" s="346">
        <f t="shared" si="192"/>
        <v>70.247351952945593</v>
      </c>
      <c r="M578" s="346">
        <f t="shared" si="192"/>
        <v>0</v>
      </c>
      <c r="N578" s="346">
        <f t="shared" si="192"/>
        <v>609.91803170712819</v>
      </c>
      <c r="O578" s="346">
        <f t="shared" si="192"/>
        <v>0</v>
      </c>
      <c r="P578" s="346">
        <f t="shared" si="192"/>
        <v>0</v>
      </c>
      <c r="Q578" s="346">
        <f t="shared" si="192"/>
        <v>0</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25">
      <c r="E579" s="336"/>
      <c r="F579" s="2" t="s">
        <v>980</v>
      </c>
      <c r="G579" t="s">
        <v>208</v>
      </c>
      <c r="J579" s="346">
        <f>J124</f>
        <v>0</v>
      </c>
      <c r="K579" s="346">
        <f t="shared" ref="K579:Y579" si="193">K124</f>
        <v>0</v>
      </c>
      <c r="L579" s="346">
        <f t="shared" si="193"/>
        <v>280.99048763236493</v>
      </c>
      <c r="M579" s="346">
        <f t="shared" si="193"/>
        <v>0</v>
      </c>
      <c r="N579" s="346">
        <f t="shared" si="193"/>
        <v>700.36590095488395</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25">
      <c r="E580" s="336"/>
      <c r="F580" s="2" t="s">
        <v>982</v>
      </c>
      <c r="G580" t="s">
        <v>208</v>
      </c>
      <c r="J580" s="91">
        <f>J133</f>
        <v>0</v>
      </c>
      <c r="K580" s="91">
        <f t="shared" ref="K580:Y580" si="194">K133</f>
        <v>0</v>
      </c>
      <c r="L580" s="91">
        <f t="shared" si="194"/>
        <v>276.75526413947853</v>
      </c>
      <c r="M580" s="91">
        <f t="shared" si="194"/>
        <v>0</v>
      </c>
      <c r="N580" s="91">
        <f t="shared" si="194"/>
        <v>349.76093967673029</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36"/>
      <c r="F581" s="2" t="s">
        <v>981</v>
      </c>
      <c r="G581" t="s">
        <v>208</v>
      </c>
      <c r="J581" s="91">
        <f>J142</f>
        <v>0</v>
      </c>
      <c r="K581" s="91">
        <f t="shared" ref="K581:Y581" si="195">K142</f>
        <v>0</v>
      </c>
      <c r="L581" s="91">
        <f t="shared" si="195"/>
        <v>918.76732725265447</v>
      </c>
      <c r="M581" s="91">
        <f t="shared" si="195"/>
        <v>0</v>
      </c>
      <c r="N581" s="91">
        <f t="shared" si="195"/>
        <v>415.09128154073164</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250</v>
      </c>
      <c r="F582" s="2"/>
      <c r="J582" s="22"/>
      <c r="K582" s="22"/>
      <c r="L582" s="22"/>
      <c r="M582" s="22"/>
      <c r="N582" s="22"/>
      <c r="O582" s="22"/>
      <c r="P582" s="22"/>
      <c r="Q582" s="22"/>
      <c r="R582" s="22"/>
      <c r="S582" s="22"/>
      <c r="T582" s="22"/>
      <c r="U582" s="22"/>
      <c r="V582" s="22"/>
      <c r="W582" s="22"/>
      <c r="X582" s="22"/>
      <c r="Y582" s="22"/>
      <c r="AQ582" s="3"/>
    </row>
    <row r="583" spans="5:43" x14ac:dyDescent="0.25">
      <c r="E583" s="336"/>
      <c r="F583" s="2" t="s">
        <v>978</v>
      </c>
      <c r="G583" t="s">
        <v>208</v>
      </c>
      <c r="J583" s="121">
        <f>J107</f>
        <v>0</v>
      </c>
      <c r="K583" s="121">
        <f t="shared" ref="K583:Y583" si="196">K107</f>
        <v>0</v>
      </c>
      <c r="L583" s="121">
        <f t="shared" si="196"/>
        <v>1.9647629278502266E-2</v>
      </c>
      <c r="M583" s="121">
        <f t="shared" si="196"/>
        <v>0</v>
      </c>
      <c r="N583" s="121">
        <f t="shared" si="196"/>
        <v>2.5961283793213075</v>
      </c>
      <c r="O583" s="121">
        <f t="shared" si="196"/>
        <v>0</v>
      </c>
      <c r="P583" s="121">
        <f t="shared" si="196"/>
        <v>0</v>
      </c>
      <c r="Q583" s="121">
        <f t="shared" si="196"/>
        <v>0</v>
      </c>
      <c r="R583" s="121">
        <f t="shared" si="196"/>
        <v>56.274000000000008</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36"/>
      <c r="F584" s="2" t="s">
        <v>979</v>
      </c>
      <c r="G584" t="s">
        <v>208</v>
      </c>
      <c r="J584" s="346">
        <f>J116</f>
        <v>20376.23761872001</v>
      </c>
      <c r="K584" s="346">
        <f t="shared" ref="K584:Y584" si="197">K116</f>
        <v>0</v>
      </c>
      <c r="L584" s="346">
        <f t="shared" si="197"/>
        <v>52.434694725311935</v>
      </c>
      <c r="M584" s="346">
        <f t="shared" si="197"/>
        <v>0</v>
      </c>
      <c r="N584" s="346">
        <f t="shared" si="197"/>
        <v>597.00859987564922</v>
      </c>
      <c r="O584" s="346">
        <f t="shared" si="197"/>
        <v>0</v>
      </c>
      <c r="P584" s="346">
        <f t="shared" si="197"/>
        <v>0</v>
      </c>
      <c r="Q584" s="346">
        <f t="shared" si="197"/>
        <v>0</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25">
      <c r="E585" s="336"/>
      <c r="F585" s="2" t="s">
        <v>980</v>
      </c>
      <c r="G585" t="s">
        <v>208</v>
      </c>
      <c r="J585" s="346">
        <f>J125</f>
        <v>0</v>
      </c>
      <c r="K585" s="346">
        <f t="shared" ref="K585:Y585" si="198">K125</f>
        <v>0</v>
      </c>
      <c r="L585" s="346">
        <f t="shared" si="198"/>
        <v>209.73958491116883</v>
      </c>
      <c r="M585" s="346">
        <f t="shared" si="198"/>
        <v>0</v>
      </c>
      <c r="N585" s="346">
        <f t="shared" si="198"/>
        <v>685.54206334811022</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25">
      <c r="E586" s="336"/>
      <c r="F586" s="2" t="s">
        <v>982</v>
      </c>
      <c r="G586" t="s">
        <v>208</v>
      </c>
      <c r="J586" s="91">
        <f>J134</f>
        <v>0</v>
      </c>
      <c r="K586" s="91">
        <f t="shared" ref="K586:Y586" si="199">K134</f>
        <v>0</v>
      </c>
      <c r="L586" s="91">
        <f t="shared" si="199"/>
        <v>206.57828922145066</v>
      </c>
      <c r="M586" s="91">
        <f t="shared" si="199"/>
        <v>0</v>
      </c>
      <c r="N586" s="91">
        <f t="shared" si="199"/>
        <v>342.3579530894458</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36"/>
      <c r="F587" s="2" t="s">
        <v>981</v>
      </c>
      <c r="G587" t="s">
        <v>208</v>
      </c>
      <c r="J587" s="91">
        <f>J143</f>
        <v>0</v>
      </c>
      <c r="K587" s="91">
        <f t="shared" ref="K587:Y587" si="200">K143</f>
        <v>0</v>
      </c>
      <c r="L587" s="91">
        <f t="shared" si="200"/>
        <v>685.79502271279046</v>
      </c>
      <c r="M587" s="91">
        <f t="shared" si="200"/>
        <v>0</v>
      </c>
      <c r="N587" s="91">
        <f t="shared" si="200"/>
        <v>406.3055229234746</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213</v>
      </c>
      <c r="F588" s="2"/>
      <c r="J588" s="22"/>
      <c r="K588" s="22"/>
      <c r="L588" s="22"/>
      <c r="M588" s="22"/>
      <c r="N588" s="22"/>
      <c r="O588" s="22"/>
      <c r="P588" s="22"/>
      <c r="Q588" s="22"/>
      <c r="R588" s="22"/>
      <c r="S588" s="22"/>
      <c r="T588" s="22"/>
      <c r="U588" s="22"/>
      <c r="V588" s="22"/>
      <c r="W588" s="22"/>
      <c r="X588" s="22"/>
      <c r="Y588" s="22"/>
      <c r="AQ588" s="3"/>
    </row>
    <row r="589" spans="5:43" x14ac:dyDescent="0.25">
      <c r="E589" s="336"/>
      <c r="F589" s="2" t="s">
        <v>978</v>
      </c>
      <c r="G589" t="s">
        <v>213</v>
      </c>
      <c r="J589" s="121">
        <f>J108</f>
        <v>0</v>
      </c>
      <c r="K589" s="121">
        <f t="shared" ref="K589:Y589" si="201">K108</f>
        <v>0</v>
      </c>
      <c r="L589" s="121">
        <f t="shared" si="201"/>
        <v>0.12623481871738476</v>
      </c>
      <c r="M589" s="121">
        <f t="shared" si="201"/>
        <v>0</v>
      </c>
      <c r="N589" s="121">
        <f t="shared" si="201"/>
        <v>0.34715495504601035</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36"/>
      <c r="F590" s="2" t="s">
        <v>979</v>
      </c>
      <c r="G590" t="s">
        <v>213</v>
      </c>
      <c r="J590" s="346">
        <f>J117</f>
        <v>14872.013535035618</v>
      </c>
      <c r="K590" s="346">
        <f t="shared" ref="K590:Y590" si="202">K117</f>
        <v>0</v>
      </c>
      <c r="L590" s="346">
        <f t="shared" si="202"/>
        <v>145.06058551384407</v>
      </c>
      <c r="M590" s="346">
        <f t="shared" si="202"/>
        <v>0</v>
      </c>
      <c r="N590" s="346">
        <f t="shared" si="202"/>
        <v>23.549882808259575</v>
      </c>
      <c r="O590" s="346">
        <f t="shared" si="202"/>
        <v>0</v>
      </c>
      <c r="P590" s="346">
        <f t="shared" si="202"/>
        <v>0</v>
      </c>
      <c r="Q590" s="346">
        <f t="shared" si="202"/>
        <v>0</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25">
      <c r="E591" s="336"/>
      <c r="F591" s="2" t="s">
        <v>980</v>
      </c>
      <c r="G591" t="s">
        <v>213</v>
      </c>
      <c r="J591" s="346">
        <f>J126</f>
        <v>0</v>
      </c>
      <c r="K591" s="346">
        <f t="shared" ref="K591:Y591" si="203">K126</f>
        <v>0</v>
      </c>
      <c r="L591" s="346">
        <f t="shared" si="203"/>
        <v>98.326777451584476</v>
      </c>
      <c r="M591" s="346">
        <f t="shared" si="203"/>
        <v>0</v>
      </c>
      <c r="N591" s="346">
        <f t="shared" si="203"/>
        <v>15.11889274576099</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25">
      <c r="E592" s="336"/>
      <c r="F592" s="2" t="s">
        <v>982</v>
      </c>
      <c r="G592" t="s">
        <v>213</v>
      </c>
      <c r="J592" s="91">
        <f>J135</f>
        <v>0</v>
      </c>
      <c r="K592" s="91">
        <f t="shared" ref="K592:Y592" si="204">K135</f>
        <v>0</v>
      </c>
      <c r="L592" s="91">
        <f t="shared" si="204"/>
        <v>40.370463721288147</v>
      </c>
      <c r="M592" s="91">
        <f t="shared" si="204"/>
        <v>0</v>
      </c>
      <c r="N592" s="91">
        <f t="shared" si="204"/>
        <v>5.0323012171107608</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36"/>
      <c r="F593" s="2" t="s">
        <v>981</v>
      </c>
      <c r="G593" t="s">
        <v>213</v>
      </c>
      <c r="J593" s="91">
        <f>J144</f>
        <v>0</v>
      </c>
      <c r="K593" s="91">
        <f t="shared" ref="K593:Y593" si="205">K144</f>
        <v>0</v>
      </c>
      <c r="L593" s="91">
        <f t="shared" si="205"/>
        <v>41.093105924702968</v>
      </c>
      <c r="M593" s="91">
        <f t="shared" si="205"/>
        <v>0</v>
      </c>
      <c r="N593" s="91">
        <f t="shared" si="205"/>
        <v>3.2920681971103534</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251</v>
      </c>
      <c r="F594" s="2"/>
      <c r="J594" s="22"/>
      <c r="K594" s="22"/>
      <c r="L594" s="22"/>
      <c r="M594" s="22"/>
      <c r="N594" s="22"/>
      <c r="O594" s="22"/>
      <c r="P594" s="22"/>
      <c r="Q594" s="22"/>
      <c r="R594" s="22"/>
      <c r="S594" s="22"/>
      <c r="T594" s="22"/>
      <c r="U594" s="22"/>
      <c r="V594" s="22"/>
      <c r="W594" s="22"/>
      <c r="X594" s="22"/>
      <c r="Y594" s="22"/>
      <c r="AQ594" s="3"/>
    </row>
    <row r="595" spans="5:43" x14ac:dyDescent="0.25">
      <c r="E595" s="336"/>
      <c r="F595" s="2" t="s">
        <v>978</v>
      </c>
      <c r="G595" t="s">
        <v>252</v>
      </c>
      <c r="J595" s="121">
        <f>J109</f>
        <v>0</v>
      </c>
      <c r="K595" s="121">
        <f t="shared" ref="K595:Y595" si="206">K109</f>
        <v>0</v>
      </c>
      <c r="L595" s="121">
        <f t="shared" si="206"/>
        <v>0</v>
      </c>
      <c r="M595" s="121">
        <f t="shared" si="206"/>
        <v>0</v>
      </c>
      <c r="N595" s="121">
        <f t="shared" si="206"/>
        <v>14.99303609651184</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36"/>
      <c r="F596" s="2" t="s">
        <v>979</v>
      </c>
      <c r="G596" t="s">
        <v>252</v>
      </c>
      <c r="J596" s="346">
        <f>J118</f>
        <v>0</v>
      </c>
      <c r="K596" s="346">
        <f t="shared" ref="K596:Y596" si="207">K118</f>
        <v>0</v>
      </c>
      <c r="L596" s="346">
        <f t="shared" si="207"/>
        <v>0</v>
      </c>
      <c r="M596" s="346">
        <f t="shared" si="207"/>
        <v>0</v>
      </c>
      <c r="N596" s="346">
        <f t="shared" si="207"/>
        <v>1420.7322748181173</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25">
      <c r="E597" s="336"/>
      <c r="F597" s="2" t="s">
        <v>980</v>
      </c>
      <c r="G597" t="s">
        <v>252</v>
      </c>
      <c r="J597" s="346">
        <f>J127</f>
        <v>0</v>
      </c>
      <c r="K597" s="346">
        <f t="shared" ref="K597:Y597" si="208">K127</f>
        <v>0</v>
      </c>
      <c r="L597" s="346">
        <f t="shared" si="208"/>
        <v>0</v>
      </c>
      <c r="M597" s="346">
        <f t="shared" si="208"/>
        <v>0</v>
      </c>
      <c r="N597" s="346">
        <f t="shared" si="208"/>
        <v>2243.0710430872077</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25">
      <c r="E598" s="336"/>
      <c r="F598" s="2" t="s">
        <v>982</v>
      </c>
      <c r="G598" t="s">
        <v>252</v>
      </c>
      <c r="J598" s="91">
        <f>J136</f>
        <v>0</v>
      </c>
      <c r="K598" s="91">
        <f t="shared" ref="K598:Y598" si="209">K136</f>
        <v>0</v>
      </c>
      <c r="L598" s="91">
        <f t="shared" si="209"/>
        <v>0</v>
      </c>
      <c r="M598" s="91">
        <f t="shared" si="209"/>
        <v>0</v>
      </c>
      <c r="N598" s="91">
        <f t="shared" si="209"/>
        <v>1208.1231927612789</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36"/>
      <c r="F599" s="2" t="s">
        <v>981</v>
      </c>
      <c r="G599" t="s">
        <v>252</v>
      </c>
      <c r="J599" s="91">
        <f>J145</f>
        <v>0</v>
      </c>
      <c r="K599" s="91">
        <f t="shared" ref="K599:Y599" si="210">K145</f>
        <v>0</v>
      </c>
      <c r="L599" s="91">
        <f t="shared" si="210"/>
        <v>0</v>
      </c>
      <c r="M599" s="91">
        <f t="shared" si="210"/>
        <v>0</v>
      </c>
      <c r="N599" s="91">
        <f t="shared" si="210"/>
        <v>1465.7068242177083</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253</v>
      </c>
      <c r="F600" s="2"/>
      <c r="J600" s="22"/>
      <c r="K600" s="22"/>
      <c r="L600" s="22"/>
      <c r="M600" s="22"/>
      <c r="N600" s="22"/>
      <c r="O600" s="22"/>
      <c r="P600" s="22"/>
      <c r="Q600" s="22"/>
      <c r="R600" s="22"/>
      <c r="S600" s="22"/>
      <c r="T600" s="22"/>
      <c r="U600" s="22"/>
      <c r="V600" s="22"/>
      <c r="W600" s="22"/>
      <c r="X600" s="22"/>
      <c r="Y600" s="22"/>
      <c r="AQ600" s="3"/>
    </row>
    <row r="601" spans="5:43" x14ac:dyDescent="0.25">
      <c r="E601" s="336"/>
      <c r="F601" s="2" t="s">
        <v>978</v>
      </c>
      <c r="G601" t="s">
        <v>252</v>
      </c>
      <c r="J601" s="121">
        <f>J110</f>
        <v>0</v>
      </c>
      <c r="K601" s="121">
        <f t="shared" ref="K601:Y601" si="211">K110</f>
        <v>0</v>
      </c>
      <c r="L601" s="121">
        <f t="shared" si="211"/>
        <v>0</v>
      </c>
      <c r="M601" s="121">
        <f t="shared" si="211"/>
        <v>0</v>
      </c>
      <c r="N601" s="121">
        <f t="shared" si="211"/>
        <v>0.74528084838246089</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36"/>
      <c r="F602" s="2" t="s">
        <v>979</v>
      </c>
      <c r="G602" t="s">
        <v>252</v>
      </c>
      <c r="J602" s="346">
        <f>J119</f>
        <v>0</v>
      </c>
      <c r="K602" s="346">
        <f t="shared" ref="K602:Y602" si="212">K119</f>
        <v>0</v>
      </c>
      <c r="L602" s="346">
        <f t="shared" si="212"/>
        <v>0</v>
      </c>
      <c r="M602" s="346">
        <f t="shared" si="212"/>
        <v>0</v>
      </c>
      <c r="N602" s="346">
        <f t="shared" si="212"/>
        <v>40.338993706871612</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25">
      <c r="E603" s="336"/>
      <c r="F603" s="2" t="s">
        <v>980</v>
      </c>
      <c r="G603" t="s">
        <v>252</v>
      </c>
      <c r="J603" s="346">
        <f>J128</f>
        <v>0</v>
      </c>
      <c r="K603" s="346">
        <f t="shared" ref="K603:Y603" si="213">K128</f>
        <v>0</v>
      </c>
      <c r="L603" s="346">
        <f t="shared" si="213"/>
        <v>0</v>
      </c>
      <c r="M603" s="346">
        <f t="shared" si="213"/>
        <v>0</v>
      </c>
      <c r="N603" s="346">
        <f t="shared" si="213"/>
        <v>5.3185460408082248</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25">
      <c r="E604" s="336"/>
      <c r="F604" s="2" t="s">
        <v>982</v>
      </c>
      <c r="G604" t="s">
        <v>252</v>
      </c>
      <c r="J604" s="91">
        <f>J137</f>
        <v>0</v>
      </c>
      <c r="K604" s="91">
        <f t="shared" ref="K604:Y604" si="214">K137</f>
        <v>0</v>
      </c>
      <c r="L604" s="91">
        <f t="shared" si="214"/>
        <v>0</v>
      </c>
      <c r="M604" s="91">
        <f t="shared" si="214"/>
        <v>0</v>
      </c>
      <c r="N604" s="91">
        <f t="shared" si="214"/>
        <v>1.2754049863866139</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36"/>
      <c r="F605" s="2" t="s">
        <v>981</v>
      </c>
      <c r="G605" t="s">
        <v>252</v>
      </c>
      <c r="J605" s="91">
        <f>J146</f>
        <v>0</v>
      </c>
      <c r="K605" s="91">
        <f t="shared" ref="K605:Y605" si="215">K146</f>
        <v>0</v>
      </c>
      <c r="L605" s="91">
        <f t="shared" si="215"/>
        <v>0</v>
      </c>
      <c r="M605" s="91">
        <f t="shared" si="215"/>
        <v>0</v>
      </c>
      <c r="N605" s="91">
        <f t="shared" si="215"/>
        <v>0.25483848330452602</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36" t="s">
        <v>254</v>
      </c>
      <c r="F606" s="2"/>
      <c r="J606" s="22"/>
      <c r="K606" s="22"/>
      <c r="L606" s="22"/>
      <c r="M606" s="22"/>
      <c r="N606" s="22"/>
      <c r="O606" s="22"/>
      <c r="P606" s="22"/>
      <c r="Q606" s="22"/>
      <c r="R606" s="22"/>
      <c r="S606" s="22"/>
      <c r="T606" s="22"/>
      <c r="U606" s="22"/>
      <c r="V606" s="22"/>
      <c r="W606" s="22"/>
      <c r="X606" s="22"/>
      <c r="Y606" s="22"/>
      <c r="AQ606" s="3"/>
    </row>
    <row r="607" spans="5:43" x14ac:dyDescent="0.25">
      <c r="E607" s="336"/>
      <c r="F607" s="2" t="s">
        <v>978</v>
      </c>
      <c r="G607" t="s">
        <v>255</v>
      </c>
      <c r="J607" s="121">
        <f>J111</f>
        <v>0</v>
      </c>
      <c r="K607" s="121">
        <f t="shared" ref="K607:Y607" si="216">K111</f>
        <v>0</v>
      </c>
      <c r="L607" s="121">
        <f t="shared" si="216"/>
        <v>0</v>
      </c>
      <c r="M607" s="121">
        <f t="shared" si="216"/>
        <v>0</v>
      </c>
      <c r="N607" s="121">
        <f t="shared" si="216"/>
        <v>3.2229671801960769</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36"/>
      <c r="F608" s="2" t="s">
        <v>979</v>
      </c>
      <c r="G608" t="s">
        <v>255</v>
      </c>
      <c r="J608" s="346">
        <f>J120</f>
        <v>0</v>
      </c>
      <c r="K608" s="346">
        <f t="shared" ref="K608:Y608" si="217">K120</f>
        <v>0</v>
      </c>
      <c r="L608" s="346">
        <f t="shared" si="217"/>
        <v>0</v>
      </c>
      <c r="M608" s="346">
        <f t="shared" si="217"/>
        <v>0</v>
      </c>
      <c r="N608" s="346">
        <f t="shared" si="217"/>
        <v>201.59091508799898</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25">
      <c r="E609" s="336"/>
      <c r="F609" s="2" t="s">
        <v>980</v>
      </c>
      <c r="G609" t="s">
        <v>255</v>
      </c>
      <c r="J609" s="346">
        <f>J129</f>
        <v>0</v>
      </c>
      <c r="K609" s="346">
        <f t="shared" ref="K609:Y609" si="218">K129</f>
        <v>0</v>
      </c>
      <c r="L609" s="346">
        <f t="shared" si="218"/>
        <v>0</v>
      </c>
      <c r="M609" s="346">
        <f t="shared" si="218"/>
        <v>0</v>
      </c>
      <c r="N609" s="346">
        <f t="shared" si="218"/>
        <v>215.46232543553398</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25">
      <c r="E610" s="336"/>
      <c r="F610" s="2" t="s">
        <v>982</v>
      </c>
      <c r="G610" t="s">
        <v>255</v>
      </c>
      <c r="J610" s="91">
        <f>J138</f>
        <v>0</v>
      </c>
      <c r="K610" s="91">
        <f t="shared" ref="K610:Y610" si="219">K138</f>
        <v>0</v>
      </c>
      <c r="L610" s="91">
        <f t="shared" si="219"/>
        <v>0</v>
      </c>
      <c r="M610" s="91">
        <f t="shared" si="219"/>
        <v>0</v>
      </c>
      <c r="N610" s="91">
        <f t="shared" si="219"/>
        <v>118.76988095716746</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37" t="s">
        <v>981</v>
      </c>
      <c r="G611" s="28" t="s">
        <v>255</v>
      </c>
      <c r="H611" s="28"/>
      <c r="I611" s="28"/>
      <c r="J611" s="346">
        <f>J147</f>
        <v>0</v>
      </c>
      <c r="K611" s="346">
        <f t="shared" ref="K611:Y611" si="220">K147</f>
        <v>0</v>
      </c>
      <c r="L611" s="346">
        <f t="shared" si="220"/>
        <v>0</v>
      </c>
      <c r="M611" s="346">
        <f t="shared" si="220"/>
        <v>0</v>
      </c>
      <c r="N611" s="346">
        <f t="shared" si="220"/>
        <v>151.24982993110368</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25">
      <c r="AQ612" s="3"/>
    </row>
    <row r="613" spans="4:43" x14ac:dyDescent="0.25">
      <c r="D613" s="27" t="s">
        <v>1132</v>
      </c>
      <c r="AQ613" s="3"/>
    </row>
    <row r="614" spans="4:43" x14ac:dyDescent="0.25">
      <c r="E614" s="68" t="s">
        <v>248</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36"/>
      <c r="F615" s="2" t="s">
        <v>978</v>
      </c>
      <c r="G615" t="s">
        <v>208</v>
      </c>
      <c r="J615" s="121">
        <f>J152</f>
        <v>0</v>
      </c>
      <c r="K615" s="121">
        <f t="shared" ref="K615:Y615" si="221">K152</f>
        <v>0</v>
      </c>
      <c r="L615" s="121">
        <f t="shared" si="221"/>
        <v>1.7942296743666004E-2</v>
      </c>
      <c r="M615" s="121">
        <f t="shared" si="221"/>
        <v>0</v>
      </c>
      <c r="N615" s="121">
        <f t="shared" si="221"/>
        <v>7.7737985533873246</v>
      </c>
      <c r="O615" s="121">
        <f t="shared" si="221"/>
        <v>0.56633149213877765</v>
      </c>
      <c r="P615" s="121">
        <f t="shared" si="221"/>
        <v>3.5054593956071423</v>
      </c>
      <c r="Q615" s="121">
        <f t="shared" si="221"/>
        <v>0</v>
      </c>
      <c r="R615" s="121">
        <f t="shared" si="221"/>
        <v>6.234</v>
      </c>
      <c r="S615" s="121">
        <f t="shared" si="221"/>
        <v>0</v>
      </c>
      <c r="T615" s="121">
        <f t="shared" si="221"/>
        <v>7.8260000000000032</v>
      </c>
      <c r="U615" s="121">
        <f t="shared" si="221"/>
        <v>0</v>
      </c>
      <c r="V615" s="121">
        <f t="shared" si="221"/>
        <v>0</v>
      </c>
      <c r="W615" s="121">
        <f t="shared" si="221"/>
        <v>0</v>
      </c>
      <c r="X615" s="121">
        <f t="shared" si="221"/>
        <v>0</v>
      </c>
      <c r="Y615" s="121">
        <f t="shared" si="221"/>
        <v>0</v>
      </c>
      <c r="AQ615" s="3"/>
    </row>
    <row r="616" spans="4:43" x14ac:dyDescent="0.25">
      <c r="E616" s="336"/>
      <c r="F616" s="2" t="s">
        <v>979</v>
      </c>
      <c r="G616" t="s">
        <v>208</v>
      </c>
      <c r="J616" s="346">
        <f>J161</f>
        <v>12729.688281288001</v>
      </c>
      <c r="K616" s="346">
        <f t="shared" ref="K616:Y616" si="222">K161</f>
        <v>0</v>
      </c>
      <c r="L616" s="346">
        <f t="shared" si="222"/>
        <v>47.883581224452058</v>
      </c>
      <c r="M616" s="346">
        <f t="shared" si="222"/>
        <v>0</v>
      </c>
      <c r="N616" s="346">
        <f t="shared" si="222"/>
        <v>1787.6714522439731</v>
      </c>
      <c r="O616" s="346">
        <f t="shared" si="222"/>
        <v>36.153416670684742</v>
      </c>
      <c r="P616" s="346">
        <f t="shared" si="222"/>
        <v>106.22353589974244</v>
      </c>
      <c r="Q616" s="346">
        <f t="shared" si="222"/>
        <v>0</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25">
      <c r="E617" s="336"/>
      <c r="F617" s="2" t="s">
        <v>980</v>
      </c>
      <c r="G617" t="s">
        <v>208</v>
      </c>
      <c r="J617" s="346">
        <f>J170</f>
        <v>0</v>
      </c>
      <c r="K617" s="346">
        <f t="shared" ref="K617:Y617" si="223">K170</f>
        <v>0</v>
      </c>
      <c r="L617" s="346">
        <f t="shared" si="223"/>
        <v>191.53506094941929</v>
      </c>
      <c r="M617" s="346">
        <f t="shared" si="223"/>
        <v>0</v>
      </c>
      <c r="N617" s="346">
        <f t="shared" si="223"/>
        <v>2052.7744093051761</v>
      </c>
      <c r="O617" s="346">
        <f t="shared" si="223"/>
        <v>88.7175253574419</v>
      </c>
      <c r="P617" s="346">
        <f t="shared" si="223"/>
        <v>326.81395614084664</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25">
      <c r="E618" s="336"/>
      <c r="F618" s="2" t="s">
        <v>982</v>
      </c>
      <c r="G618" t="s">
        <v>208</v>
      </c>
      <c r="J618" s="91">
        <f>J179</f>
        <v>0</v>
      </c>
      <c r="K618" s="91">
        <f t="shared" ref="K618:Y618" si="224">K179</f>
        <v>0</v>
      </c>
      <c r="L618" s="91">
        <f t="shared" si="224"/>
        <v>188.64815258223734</v>
      </c>
      <c r="M618" s="91">
        <f t="shared" si="224"/>
        <v>0</v>
      </c>
      <c r="N618" s="91">
        <f t="shared" si="224"/>
        <v>1025.1502898185418</v>
      </c>
      <c r="O618" s="91">
        <f t="shared" si="224"/>
        <v>90.844554015568988</v>
      </c>
      <c r="P618" s="91">
        <f t="shared" si="224"/>
        <v>223.28298466693087</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36"/>
      <c r="F619" s="2" t="s">
        <v>981</v>
      </c>
      <c r="G619" t="s">
        <v>208</v>
      </c>
      <c r="J619" s="91">
        <f>J188</f>
        <v>0</v>
      </c>
      <c r="K619" s="91">
        <f t="shared" ref="K619:Y619" si="225">K188</f>
        <v>0</v>
      </c>
      <c r="L619" s="91">
        <f t="shared" si="225"/>
        <v>626.27086598714789</v>
      </c>
      <c r="M619" s="91">
        <f t="shared" si="225"/>
        <v>0</v>
      </c>
      <c r="N619" s="91">
        <f t="shared" si="225"/>
        <v>1216.6337040549236</v>
      </c>
      <c r="O619" s="91">
        <f t="shared" si="225"/>
        <v>375.06905234416575</v>
      </c>
      <c r="P619" s="91">
        <f t="shared" si="225"/>
        <v>595.74260220887334</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249</v>
      </c>
      <c r="F620" s="2"/>
      <c r="J620" s="22"/>
      <c r="K620" s="22"/>
      <c r="L620" s="22"/>
      <c r="M620" s="22"/>
      <c r="N620" s="22"/>
      <c r="O620" s="22"/>
      <c r="P620" s="22"/>
      <c r="Q620" s="22"/>
      <c r="R620" s="22"/>
      <c r="S620" s="22"/>
      <c r="T620" s="22"/>
      <c r="U620" s="22"/>
      <c r="V620" s="22"/>
      <c r="W620" s="22"/>
      <c r="X620" s="22"/>
      <c r="Y620" s="22"/>
      <c r="AQ620" s="3"/>
    </row>
    <row r="621" spans="4:43" x14ac:dyDescent="0.25">
      <c r="E621" s="336"/>
      <c r="F621" s="2" t="s">
        <v>978</v>
      </c>
      <c r="G621" t="s">
        <v>208</v>
      </c>
      <c r="J621" s="121">
        <f>J153</f>
        <v>0</v>
      </c>
      <c r="K621" s="121">
        <f t="shared" ref="K621:Y621" si="226">K153</f>
        <v>0</v>
      </c>
      <c r="L621" s="121">
        <f t="shared" si="226"/>
        <v>0.14336231929097859</v>
      </c>
      <c r="M621" s="121">
        <f t="shared" si="226"/>
        <v>0</v>
      </c>
      <c r="N621" s="121">
        <f t="shared" si="226"/>
        <v>50.234699476143327</v>
      </c>
      <c r="O621" s="121">
        <f t="shared" si="226"/>
        <v>3.433521502551768</v>
      </c>
      <c r="P621" s="121">
        <f t="shared" si="226"/>
        <v>22.765066895488712</v>
      </c>
      <c r="Q621" s="121">
        <f t="shared" si="226"/>
        <v>0</v>
      </c>
      <c r="R621" s="121">
        <f t="shared" si="226"/>
        <v>163.50900000000001</v>
      </c>
      <c r="S621" s="121">
        <f t="shared" si="226"/>
        <v>0</v>
      </c>
      <c r="T621" s="121">
        <f t="shared" si="226"/>
        <v>65.302000000000007</v>
      </c>
      <c r="U621" s="121">
        <f t="shared" si="226"/>
        <v>0</v>
      </c>
      <c r="V621" s="121">
        <f t="shared" si="226"/>
        <v>0</v>
      </c>
      <c r="W621" s="121">
        <f t="shared" si="226"/>
        <v>0</v>
      </c>
      <c r="X621" s="121">
        <f t="shared" si="226"/>
        <v>0</v>
      </c>
      <c r="Y621" s="121">
        <f t="shared" si="226"/>
        <v>0</v>
      </c>
      <c r="AQ621" s="3"/>
    </row>
    <row r="622" spans="4:43" x14ac:dyDescent="0.25">
      <c r="E622" s="336"/>
      <c r="F622" s="2" t="s">
        <v>979</v>
      </c>
      <c r="G622" t="s">
        <v>208</v>
      </c>
      <c r="J622" s="346">
        <f>J162</f>
        <v>64023.44241600002</v>
      </c>
      <c r="K622" s="346">
        <f t="shared" ref="K622:Y622" si="227">K162</f>
        <v>0</v>
      </c>
      <c r="L622" s="346">
        <f t="shared" si="227"/>
        <v>382.59880317266413</v>
      </c>
      <c r="M622" s="346">
        <f t="shared" si="227"/>
        <v>0</v>
      </c>
      <c r="N622" s="346">
        <f t="shared" si="227"/>
        <v>11552.027949891526</v>
      </c>
      <c r="O622" s="346">
        <f t="shared" si="227"/>
        <v>219.18882359996172</v>
      </c>
      <c r="P622" s="346">
        <f t="shared" si="227"/>
        <v>689.83423504015673</v>
      </c>
      <c r="Q622" s="346">
        <f t="shared" si="227"/>
        <v>0</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25">
      <c r="E623" s="336"/>
      <c r="F623" s="2" t="s">
        <v>980</v>
      </c>
      <c r="G623" t="s">
        <v>208</v>
      </c>
      <c r="J623" s="346">
        <f>J171</f>
        <v>0</v>
      </c>
      <c r="K623" s="346">
        <f t="shared" ref="K623:Y623" si="228">K171</f>
        <v>0</v>
      </c>
      <c r="L623" s="346">
        <f t="shared" si="228"/>
        <v>1530.4010938812073</v>
      </c>
      <c r="M623" s="346">
        <f t="shared" si="228"/>
        <v>0</v>
      </c>
      <c r="N623" s="346">
        <f t="shared" si="228"/>
        <v>13265.137350237848</v>
      </c>
      <c r="O623" s="346">
        <f t="shared" si="228"/>
        <v>537.87143253780766</v>
      </c>
      <c r="P623" s="346">
        <f t="shared" si="228"/>
        <v>2122.3870352767544</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25">
      <c r="E624" s="336"/>
      <c r="F624" s="2" t="s">
        <v>982</v>
      </c>
      <c r="G624" t="s">
        <v>208</v>
      </c>
      <c r="J624" s="91">
        <f>J180</f>
        <v>0</v>
      </c>
      <c r="K624" s="91">
        <f t="shared" ref="K624:Y624" si="229">K180</f>
        <v>0</v>
      </c>
      <c r="L624" s="91">
        <f t="shared" si="229"/>
        <v>1507.3341540678393</v>
      </c>
      <c r="M624" s="91">
        <f t="shared" si="229"/>
        <v>0</v>
      </c>
      <c r="N624" s="91">
        <f t="shared" si="229"/>
        <v>6624.5756657118536</v>
      </c>
      <c r="O624" s="91">
        <f t="shared" si="229"/>
        <v>550.76705768950524</v>
      </c>
      <c r="P624" s="91">
        <f t="shared" si="229"/>
        <v>1450.038784912721</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36"/>
      <c r="F625" s="2" t="s">
        <v>981</v>
      </c>
      <c r="G625" t="s">
        <v>208</v>
      </c>
      <c r="J625" s="91">
        <f>J189</f>
        <v>0</v>
      </c>
      <c r="K625" s="91">
        <f t="shared" ref="K625:Y625" si="230">K189</f>
        <v>0</v>
      </c>
      <c r="L625" s="91">
        <f t="shared" si="230"/>
        <v>5004.0217891270022</v>
      </c>
      <c r="M625" s="91">
        <f t="shared" si="230"/>
        <v>0</v>
      </c>
      <c r="N625" s="91">
        <f t="shared" si="230"/>
        <v>7861.9516670026378</v>
      </c>
      <c r="O625" s="91">
        <f t="shared" si="230"/>
        <v>2273.9467503421743</v>
      </c>
      <c r="P625" s="91">
        <f t="shared" si="230"/>
        <v>3868.8567349468817</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250</v>
      </c>
      <c r="F626" s="2"/>
      <c r="J626" s="22"/>
      <c r="K626" s="22"/>
      <c r="L626" s="22"/>
      <c r="M626" s="22"/>
      <c r="N626" s="22"/>
      <c r="O626" s="22"/>
      <c r="P626" s="22"/>
      <c r="Q626" s="22"/>
      <c r="R626" s="22"/>
      <c r="S626" s="22"/>
      <c r="T626" s="22"/>
      <c r="U626" s="22"/>
      <c r="V626" s="22"/>
      <c r="W626" s="22"/>
      <c r="X626" s="22"/>
      <c r="Y626" s="22"/>
      <c r="AQ626" s="3"/>
    </row>
    <row r="627" spans="5:43" x14ac:dyDescent="0.25">
      <c r="E627" s="336"/>
      <c r="F627" s="2" t="s">
        <v>978</v>
      </c>
      <c r="G627" t="s">
        <v>208</v>
      </c>
      <c r="J627" s="121">
        <f>J154</f>
        <v>0</v>
      </c>
      <c r="K627" s="121">
        <f t="shared" ref="K627:Y627" si="231">K154</f>
        <v>0</v>
      </c>
      <c r="L627" s="121">
        <f t="shared" si="231"/>
        <v>0.10861382418751396</v>
      </c>
      <c r="M627" s="121">
        <f t="shared" si="231"/>
        <v>0</v>
      </c>
      <c r="N627" s="121">
        <f t="shared" si="231"/>
        <v>48.49864249491587</v>
      </c>
      <c r="O627" s="121">
        <f t="shared" si="231"/>
        <v>4.1287367021650692</v>
      </c>
      <c r="P627" s="121">
        <f t="shared" si="231"/>
        <v>26.244822906227778</v>
      </c>
      <c r="Q627" s="121">
        <f t="shared" si="231"/>
        <v>0</v>
      </c>
      <c r="R627" s="121">
        <f t="shared" si="231"/>
        <v>56.274000000000008</v>
      </c>
      <c r="S627" s="121">
        <f t="shared" si="231"/>
        <v>0</v>
      </c>
      <c r="T627" s="121">
        <f t="shared" si="231"/>
        <v>69.393999999999991</v>
      </c>
      <c r="U627" s="121">
        <f t="shared" si="231"/>
        <v>0</v>
      </c>
      <c r="V627" s="121">
        <f t="shared" si="231"/>
        <v>0</v>
      </c>
      <c r="W627" s="121">
        <f t="shared" si="231"/>
        <v>0</v>
      </c>
      <c r="X627" s="121">
        <f t="shared" si="231"/>
        <v>0</v>
      </c>
      <c r="Y627" s="121">
        <f t="shared" si="231"/>
        <v>0</v>
      </c>
      <c r="AQ627" s="3"/>
    </row>
    <row r="628" spans="5:43" x14ac:dyDescent="0.25">
      <c r="E628" s="336"/>
      <c r="F628" s="2" t="s">
        <v>979</v>
      </c>
      <c r="G628" t="s">
        <v>208</v>
      </c>
      <c r="J628" s="346">
        <f>J163</f>
        <v>64026.581807736024</v>
      </c>
      <c r="K628" s="346">
        <f t="shared" ref="K628:Y628" si="232">K163</f>
        <v>0</v>
      </c>
      <c r="L628" s="346">
        <f t="shared" si="232"/>
        <v>289.86360814800224</v>
      </c>
      <c r="M628" s="346">
        <f t="shared" si="232"/>
        <v>0</v>
      </c>
      <c r="N628" s="346">
        <f t="shared" si="232"/>
        <v>11152.802335348573</v>
      </c>
      <c r="O628" s="346">
        <f t="shared" si="232"/>
        <v>263.56990629852692</v>
      </c>
      <c r="P628" s="346">
        <f t="shared" si="232"/>
        <v>795.27889886718299</v>
      </c>
      <c r="Q628" s="346">
        <f t="shared" si="232"/>
        <v>0</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25">
      <c r="E629" s="336"/>
      <c r="F629" s="2" t="s">
        <v>980</v>
      </c>
      <c r="G629" t="s">
        <v>208</v>
      </c>
      <c r="J629" s="346">
        <f>J172</f>
        <v>0</v>
      </c>
      <c r="K629" s="346">
        <f t="shared" ref="K629:Y629" si="233">K172</f>
        <v>0</v>
      </c>
      <c r="L629" s="346">
        <f t="shared" si="233"/>
        <v>1159.4588882858038</v>
      </c>
      <c r="M629" s="346">
        <f t="shared" si="233"/>
        <v>0</v>
      </c>
      <c r="N629" s="346">
        <f t="shared" si="233"/>
        <v>12806.708524267502</v>
      </c>
      <c r="O629" s="346">
        <f t="shared" si="233"/>
        <v>646.77897689428164</v>
      </c>
      <c r="P629" s="346">
        <f t="shared" si="233"/>
        <v>2446.8046650172796</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25">
      <c r="E630" s="336"/>
      <c r="F630" s="2" t="s">
        <v>982</v>
      </c>
      <c r="G630" t="s">
        <v>208</v>
      </c>
      <c r="J630" s="91">
        <f>J181</f>
        <v>0</v>
      </c>
      <c r="K630" s="91">
        <f t="shared" ref="K630:Y630" si="234">K181</f>
        <v>0</v>
      </c>
      <c r="L630" s="91">
        <f t="shared" si="234"/>
        <v>1141.9829674313989</v>
      </c>
      <c r="M630" s="91">
        <f t="shared" si="234"/>
        <v>0</v>
      </c>
      <c r="N630" s="91">
        <f t="shared" si="234"/>
        <v>6395.6374825026496</v>
      </c>
      <c r="O630" s="91">
        <f t="shared" si="234"/>
        <v>662.28569232379243</v>
      </c>
      <c r="P630" s="91">
        <f t="shared" si="234"/>
        <v>1671.6845723276801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36"/>
      <c r="F631" s="2" t="s">
        <v>981</v>
      </c>
      <c r="G631" t="s">
        <v>208</v>
      </c>
      <c r="J631" s="91">
        <f>J190</f>
        <v>0</v>
      </c>
      <c r="K631" s="91">
        <f t="shared" ref="K631:Y631" si="235">K190</f>
        <v>0</v>
      </c>
      <c r="L631" s="91">
        <f t="shared" si="235"/>
        <v>3791.1352545266104</v>
      </c>
      <c r="M631" s="91">
        <f t="shared" si="235"/>
        <v>0</v>
      </c>
      <c r="N631" s="91">
        <f t="shared" si="235"/>
        <v>7590.2511050423809</v>
      </c>
      <c r="O631" s="91">
        <f t="shared" si="235"/>
        <v>2734.3726841172361</v>
      </c>
      <c r="P631" s="91">
        <f t="shared" si="235"/>
        <v>4460.2311218496325</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213</v>
      </c>
      <c r="F632" s="2"/>
      <c r="J632" s="22"/>
      <c r="K632" s="22"/>
      <c r="L632" s="22"/>
      <c r="M632" s="22"/>
      <c r="N632" s="22"/>
      <c r="O632" s="22"/>
      <c r="P632" s="22"/>
      <c r="Q632" s="22"/>
      <c r="R632" s="22"/>
      <c r="S632" s="22"/>
      <c r="T632" s="22"/>
      <c r="U632" s="22"/>
      <c r="V632" s="22"/>
      <c r="W632" s="22"/>
      <c r="X632" s="22"/>
      <c r="Y632" s="22"/>
      <c r="AQ632" s="3"/>
    </row>
    <row r="633" spans="5:43" x14ac:dyDescent="0.25">
      <c r="E633" s="336"/>
      <c r="F633" s="2" t="s">
        <v>978</v>
      </c>
      <c r="G633" t="s">
        <v>213</v>
      </c>
      <c r="J633" s="121">
        <f>J155</f>
        <v>0</v>
      </c>
      <c r="K633" s="121">
        <f t="shared" ref="K633:Y633" si="236">K155</f>
        <v>0</v>
      </c>
      <c r="L633" s="121">
        <f t="shared" si="236"/>
        <v>0.47469967463076912</v>
      </c>
      <c r="M633" s="121">
        <f t="shared" si="236"/>
        <v>0</v>
      </c>
      <c r="N633" s="121">
        <f t="shared" si="236"/>
        <v>2.7407148406421262</v>
      </c>
      <c r="O633" s="121">
        <f t="shared" si="236"/>
        <v>4.9903394748886803E-2</v>
      </c>
      <c r="P633" s="121">
        <f t="shared" si="236"/>
        <v>1.2716062387303642</v>
      </c>
      <c r="Q633" s="121">
        <f t="shared" si="236"/>
        <v>0</v>
      </c>
      <c r="R633" s="121">
        <f t="shared" si="236"/>
        <v>0</v>
      </c>
      <c r="S633" s="121">
        <f t="shared" si="236"/>
        <v>0</v>
      </c>
      <c r="T633" s="121">
        <f t="shared" si="236"/>
        <v>0</v>
      </c>
      <c r="U633" s="121">
        <f t="shared" si="236"/>
        <v>0</v>
      </c>
      <c r="V633" s="121">
        <f t="shared" si="236"/>
        <v>0</v>
      </c>
      <c r="W633" s="121">
        <f t="shared" si="236"/>
        <v>0</v>
      </c>
      <c r="X633" s="121">
        <f t="shared" si="236"/>
        <v>0</v>
      </c>
      <c r="Y633" s="121">
        <f t="shared" si="236"/>
        <v>0</v>
      </c>
      <c r="AQ633" s="3"/>
    </row>
    <row r="634" spans="5:43" x14ac:dyDescent="0.25">
      <c r="E634" s="336"/>
      <c r="F634" s="2" t="s">
        <v>979</v>
      </c>
      <c r="G634" t="s">
        <v>213</v>
      </c>
      <c r="J634" s="346">
        <f>J164</f>
        <v>47384.722591912338</v>
      </c>
      <c r="K634" s="346">
        <f t="shared" ref="K634:Y634" si="237">K164</f>
        <v>0</v>
      </c>
      <c r="L634" s="346">
        <f t="shared" si="237"/>
        <v>545.49302201110834</v>
      </c>
      <c r="M634" s="346">
        <f t="shared" si="237"/>
        <v>0</v>
      </c>
      <c r="N634" s="346">
        <f t="shared" si="237"/>
        <v>185.92133676854928</v>
      </c>
      <c r="O634" s="346">
        <f t="shared" si="237"/>
        <v>2.1372730861053002</v>
      </c>
      <c r="P634" s="346">
        <f t="shared" si="237"/>
        <v>2.8651398562927874</v>
      </c>
      <c r="Q634" s="346">
        <f t="shared" si="237"/>
        <v>0</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25">
      <c r="E635" s="336"/>
      <c r="F635" s="2" t="s">
        <v>980</v>
      </c>
      <c r="G635" t="s">
        <v>213</v>
      </c>
      <c r="J635" s="346">
        <f>J173</f>
        <v>0</v>
      </c>
      <c r="K635" s="346">
        <f t="shared" ref="K635:Y635" si="238">K173</f>
        <v>0</v>
      </c>
      <c r="L635" s="346">
        <f t="shared" si="238"/>
        <v>369.75289177748181</v>
      </c>
      <c r="M635" s="346">
        <f t="shared" si="238"/>
        <v>0</v>
      </c>
      <c r="N635" s="346">
        <f t="shared" si="238"/>
        <v>119.36045595803728</v>
      </c>
      <c r="O635" s="346">
        <f t="shared" si="238"/>
        <v>2.900759682417045</v>
      </c>
      <c r="P635" s="346">
        <f t="shared" si="238"/>
        <v>3.5614308549914604</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25">
      <c r="E636" s="336"/>
      <c r="F636" s="2" t="s">
        <v>982</v>
      </c>
      <c r="G636" t="s">
        <v>213</v>
      </c>
      <c r="J636" s="91">
        <f>J182</f>
        <v>0</v>
      </c>
      <c r="K636" s="91">
        <f t="shared" ref="K636:Y636" si="239">K182</f>
        <v>0</v>
      </c>
      <c r="L636" s="91">
        <f t="shared" si="239"/>
        <v>151.81109449757187</v>
      </c>
      <c r="M636" s="91">
        <f t="shared" si="239"/>
        <v>0</v>
      </c>
      <c r="N636" s="91">
        <f t="shared" si="239"/>
        <v>39.728952238313731</v>
      </c>
      <c r="O636" s="91">
        <f t="shared" si="239"/>
        <v>1.9505202347164174</v>
      </c>
      <c r="P636" s="91">
        <f t="shared" si="239"/>
        <v>1.0974892268007526</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36"/>
      <c r="F637" s="2" t="s">
        <v>981</v>
      </c>
      <c r="G637" t="s">
        <v>213</v>
      </c>
      <c r="J637" s="91">
        <f>J191</f>
        <v>0</v>
      </c>
      <c r="K637" s="91">
        <f t="shared" ref="K637:Y637" si="240">K191</f>
        <v>0</v>
      </c>
      <c r="L637" s="91">
        <f t="shared" si="240"/>
        <v>154.52855408852255</v>
      </c>
      <c r="M637" s="91">
        <f t="shared" si="240"/>
        <v>0</v>
      </c>
      <c r="N637" s="91">
        <f t="shared" si="240"/>
        <v>25.990181136923411</v>
      </c>
      <c r="O637" s="91">
        <f t="shared" si="240"/>
        <v>3.7352243472178319</v>
      </c>
      <c r="P637" s="91">
        <f t="shared" si="240"/>
        <v>1.1581524752394343</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251</v>
      </c>
      <c r="F638" s="2"/>
      <c r="J638" s="22"/>
      <c r="K638" s="22"/>
      <c r="L638" s="22"/>
      <c r="M638" s="22"/>
      <c r="N638" s="22"/>
      <c r="O638" s="22"/>
      <c r="P638" s="22"/>
      <c r="Q638" s="22"/>
      <c r="R638" s="22"/>
      <c r="S638" s="22"/>
      <c r="T638" s="22"/>
      <c r="U638" s="22"/>
      <c r="V638" s="22"/>
      <c r="W638" s="22"/>
      <c r="X638" s="22"/>
      <c r="Y638" s="22"/>
      <c r="AQ638" s="3"/>
    </row>
    <row r="639" spans="5:43" x14ac:dyDescent="0.25">
      <c r="E639" s="336"/>
      <c r="F639" s="2" t="s">
        <v>978</v>
      </c>
      <c r="G639" t="s">
        <v>252</v>
      </c>
      <c r="J639" s="121">
        <f>J156</f>
        <v>0</v>
      </c>
      <c r="K639" s="121">
        <f t="shared" ref="K639:Y639" si="241">K156</f>
        <v>0</v>
      </c>
      <c r="L639" s="121">
        <f t="shared" si="241"/>
        <v>0</v>
      </c>
      <c r="M639" s="121">
        <f t="shared" si="241"/>
        <v>0</v>
      </c>
      <c r="N639" s="121">
        <f t="shared" si="241"/>
        <v>168.07103246758192</v>
      </c>
      <c r="O639" s="121">
        <f t="shared" si="241"/>
        <v>12.392712598545598</v>
      </c>
      <c r="P639" s="121">
        <f t="shared" si="241"/>
        <v>321.35573658571514</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36"/>
      <c r="F640" s="2" t="s">
        <v>979</v>
      </c>
      <c r="G640" t="s">
        <v>252</v>
      </c>
      <c r="J640" s="346">
        <f>J165</f>
        <v>0</v>
      </c>
      <c r="K640" s="346">
        <f t="shared" ref="K640:Y640" si="242">K165</f>
        <v>0</v>
      </c>
      <c r="L640" s="346">
        <f t="shared" si="242"/>
        <v>0</v>
      </c>
      <c r="M640" s="346">
        <f t="shared" si="242"/>
        <v>0</v>
      </c>
      <c r="N640" s="346">
        <f t="shared" si="242"/>
        <v>15926.32331114382</v>
      </c>
      <c r="O640" s="346">
        <f t="shared" si="242"/>
        <v>344.98188512792871</v>
      </c>
      <c r="P640" s="346">
        <f t="shared" si="242"/>
        <v>1263.1685386266458</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25">
      <c r="E641" s="336"/>
      <c r="F641" s="2" t="s">
        <v>980</v>
      </c>
      <c r="G641" t="s">
        <v>252</v>
      </c>
      <c r="J641" s="346">
        <f>J174</f>
        <v>0</v>
      </c>
      <c r="K641" s="346">
        <f t="shared" ref="K641:Y641" si="243">K174</f>
        <v>0</v>
      </c>
      <c r="L641" s="346">
        <f t="shared" si="243"/>
        <v>0</v>
      </c>
      <c r="M641" s="346">
        <f t="shared" si="243"/>
        <v>0</v>
      </c>
      <c r="N641" s="346">
        <f t="shared" si="243"/>
        <v>25144.691420939856</v>
      </c>
      <c r="O641" s="346">
        <f t="shared" si="243"/>
        <v>984.44697896370167</v>
      </c>
      <c r="P641" s="346">
        <f t="shared" si="243"/>
        <v>4262.2484733268338</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25">
      <c r="E642" s="336"/>
      <c r="F642" s="2" t="s">
        <v>982</v>
      </c>
      <c r="G642" t="s">
        <v>252</v>
      </c>
      <c r="J642" s="91">
        <f>J183</f>
        <v>0</v>
      </c>
      <c r="K642" s="91">
        <f t="shared" ref="K642:Y642" si="244">K183</f>
        <v>0</v>
      </c>
      <c r="L642" s="91">
        <f t="shared" si="244"/>
        <v>0</v>
      </c>
      <c r="M642" s="91">
        <f t="shared" si="244"/>
        <v>0</v>
      </c>
      <c r="N642" s="91">
        <f t="shared" si="244"/>
        <v>13542.98829458963</v>
      </c>
      <c r="O642" s="91">
        <f t="shared" si="244"/>
        <v>1048.1531688081477</v>
      </c>
      <c r="P642" s="91">
        <f t="shared" si="244"/>
        <v>2612.1373957549358</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36"/>
      <c r="F643" s="2" t="s">
        <v>981</v>
      </c>
      <c r="G643" t="s">
        <v>252</v>
      </c>
      <c r="J643" s="91">
        <f>J192</f>
        <v>0</v>
      </c>
      <c r="K643" s="91">
        <f t="shared" ref="K643:Y643" si="245">K192</f>
        <v>0</v>
      </c>
      <c r="L643" s="91">
        <f t="shared" si="245"/>
        <v>0</v>
      </c>
      <c r="M643" s="91">
        <f t="shared" si="245"/>
        <v>0</v>
      </c>
      <c r="N643" s="91">
        <f t="shared" si="245"/>
        <v>16430.485303664613</v>
      </c>
      <c r="O643" s="91">
        <f t="shared" si="245"/>
        <v>4202.3323422825024</v>
      </c>
      <c r="P643" s="91">
        <f t="shared" si="245"/>
        <v>6606.5369570757421</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253</v>
      </c>
      <c r="F644" s="2"/>
      <c r="J644" s="22"/>
      <c r="K644" s="22"/>
      <c r="L644" s="22"/>
      <c r="M644" s="22"/>
      <c r="N644" s="22"/>
      <c r="O644" s="22"/>
      <c r="P644" s="22"/>
      <c r="Q644" s="22"/>
      <c r="R644" s="22"/>
      <c r="S644" s="22"/>
      <c r="T644" s="22"/>
      <c r="U644" s="22"/>
      <c r="V644" s="22"/>
      <c r="W644" s="22"/>
      <c r="X644" s="22"/>
      <c r="Y644" s="22"/>
      <c r="AQ644" s="3"/>
    </row>
    <row r="645" spans="5:43" x14ac:dyDescent="0.25">
      <c r="E645" s="336"/>
      <c r="F645" s="2" t="s">
        <v>978</v>
      </c>
      <c r="G645" t="s">
        <v>252</v>
      </c>
      <c r="J645" s="121">
        <f>J157</f>
        <v>0</v>
      </c>
      <c r="K645" s="121">
        <f t="shared" ref="K645:Y645" si="246">K157</f>
        <v>0</v>
      </c>
      <c r="L645" s="121">
        <f t="shared" si="246"/>
        <v>0</v>
      </c>
      <c r="M645" s="121">
        <f t="shared" si="246"/>
        <v>0</v>
      </c>
      <c r="N645" s="121">
        <f t="shared" si="246"/>
        <v>1.9388600055514318</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36"/>
      <c r="F646" s="2" t="s">
        <v>979</v>
      </c>
      <c r="G646" t="s">
        <v>252</v>
      </c>
      <c r="J646" s="346">
        <f>J166</f>
        <v>0</v>
      </c>
      <c r="K646" s="346">
        <f t="shared" ref="K646:Y646" si="247">K166</f>
        <v>0</v>
      </c>
      <c r="L646" s="346">
        <f t="shared" si="247"/>
        <v>0</v>
      </c>
      <c r="M646" s="346">
        <f t="shared" si="247"/>
        <v>0</v>
      </c>
      <c r="N646" s="346">
        <f t="shared" si="247"/>
        <v>104.94253506204127</v>
      </c>
      <c r="O646" s="346">
        <f t="shared" si="247"/>
        <v>0</v>
      </c>
      <c r="P646" s="346">
        <f t="shared" si="247"/>
        <v>0</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25">
      <c r="E647" s="336"/>
      <c r="F647" s="2" t="s">
        <v>980</v>
      </c>
      <c r="G647" t="s">
        <v>252</v>
      </c>
      <c r="J647" s="346">
        <f>J175</f>
        <v>0</v>
      </c>
      <c r="K647" s="346">
        <f t="shared" ref="K647:Y647" si="248">K175</f>
        <v>0</v>
      </c>
      <c r="L647" s="346">
        <f t="shared" si="248"/>
        <v>0</v>
      </c>
      <c r="M647" s="346">
        <f t="shared" si="248"/>
        <v>0</v>
      </c>
      <c r="N647" s="346">
        <f t="shared" si="248"/>
        <v>13.836282293564508</v>
      </c>
      <c r="O647" s="346">
        <f t="shared" si="248"/>
        <v>0</v>
      </c>
      <c r="P647" s="346">
        <f t="shared" si="248"/>
        <v>0</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25">
      <c r="E648" s="336"/>
      <c r="F648" s="2" t="s">
        <v>982</v>
      </c>
      <c r="G648" t="s">
        <v>252</v>
      </c>
      <c r="J648" s="91">
        <f>J184</f>
        <v>0</v>
      </c>
      <c r="K648" s="91">
        <f t="shared" ref="K648:Y648" si="249">K184</f>
        <v>0</v>
      </c>
      <c r="L648" s="91">
        <f t="shared" si="249"/>
        <v>0</v>
      </c>
      <c r="M648" s="91">
        <f t="shared" si="249"/>
        <v>0</v>
      </c>
      <c r="N648" s="91">
        <f t="shared" si="249"/>
        <v>3.3179863998287984</v>
      </c>
      <c r="O648" s="91">
        <f t="shared" si="249"/>
        <v>0</v>
      </c>
      <c r="P648" s="91">
        <f t="shared" si="249"/>
        <v>0</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36"/>
      <c r="F649" s="2" t="s">
        <v>981</v>
      </c>
      <c r="G649" t="s">
        <v>252</v>
      </c>
      <c r="J649" s="91">
        <f>J193</f>
        <v>0</v>
      </c>
      <c r="K649" s="91">
        <f t="shared" ref="K649:Y649" si="250">K193</f>
        <v>0</v>
      </c>
      <c r="L649" s="91">
        <f t="shared" si="250"/>
        <v>0</v>
      </c>
      <c r="M649" s="91">
        <f t="shared" si="250"/>
        <v>0</v>
      </c>
      <c r="N649" s="91">
        <f t="shared" si="250"/>
        <v>0.66296637600027664</v>
      </c>
      <c r="O649" s="91">
        <f t="shared" si="250"/>
        <v>0</v>
      </c>
      <c r="P649" s="91">
        <f t="shared" si="250"/>
        <v>0</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36" t="s">
        <v>254</v>
      </c>
      <c r="F650" s="2"/>
      <c r="J650" s="22"/>
      <c r="K650" s="22"/>
      <c r="L650" s="22"/>
      <c r="M650" s="22"/>
      <c r="N650" s="22"/>
      <c r="O650" s="22"/>
      <c r="P650" s="22"/>
      <c r="Q650" s="22"/>
      <c r="R650" s="22"/>
      <c r="S650" s="22"/>
      <c r="T650" s="22"/>
      <c r="U650" s="22"/>
      <c r="V650" s="22"/>
      <c r="W650" s="22"/>
      <c r="X650" s="22"/>
      <c r="Y650" s="22"/>
      <c r="AQ650" s="3"/>
    </row>
    <row r="651" spans="5:43" x14ac:dyDescent="0.25">
      <c r="E651" s="336"/>
      <c r="F651" s="2" t="s">
        <v>978</v>
      </c>
      <c r="G651" t="s">
        <v>255</v>
      </c>
      <c r="J651" s="121">
        <f>J158</f>
        <v>0</v>
      </c>
      <c r="K651" s="121">
        <f t="shared" ref="K651:Y651" si="251">K158</f>
        <v>0</v>
      </c>
      <c r="L651" s="121">
        <f t="shared" si="251"/>
        <v>0</v>
      </c>
      <c r="M651" s="121">
        <f t="shared" si="251"/>
        <v>0</v>
      </c>
      <c r="N651" s="121">
        <f t="shared" si="251"/>
        <v>12.762222433231312</v>
      </c>
      <c r="O651" s="121">
        <f t="shared" si="251"/>
        <v>0.45989790921274154</v>
      </c>
      <c r="P651" s="121">
        <f t="shared" si="251"/>
        <v>10.79241365374588</v>
      </c>
      <c r="Q651" s="121">
        <f t="shared" si="251"/>
        <v>0</v>
      </c>
      <c r="R651" s="121">
        <f t="shared" si="251"/>
        <v>0</v>
      </c>
      <c r="S651" s="121">
        <f t="shared" si="251"/>
        <v>0</v>
      </c>
      <c r="T651" s="121">
        <f t="shared" si="251"/>
        <v>11.432412652588173</v>
      </c>
      <c r="U651" s="121">
        <f t="shared" si="251"/>
        <v>0</v>
      </c>
      <c r="V651" s="121">
        <f t="shared" si="251"/>
        <v>0</v>
      </c>
      <c r="W651" s="121">
        <f t="shared" si="251"/>
        <v>0</v>
      </c>
      <c r="X651" s="121">
        <f t="shared" si="251"/>
        <v>0</v>
      </c>
      <c r="Y651" s="121">
        <f t="shared" si="251"/>
        <v>0</v>
      </c>
      <c r="AQ651" s="3"/>
    </row>
    <row r="652" spans="5:43" x14ac:dyDescent="0.25">
      <c r="E652" s="336"/>
      <c r="F652" s="2" t="s">
        <v>979</v>
      </c>
      <c r="G652" t="s">
        <v>255</v>
      </c>
      <c r="J652" s="346">
        <f>J167</f>
        <v>0</v>
      </c>
      <c r="K652" s="346">
        <f t="shared" ref="K652:Y652" si="252">K167</f>
        <v>0</v>
      </c>
      <c r="L652" s="346">
        <f t="shared" si="252"/>
        <v>0</v>
      </c>
      <c r="M652" s="346">
        <f t="shared" si="252"/>
        <v>0</v>
      </c>
      <c r="N652" s="346">
        <f t="shared" si="252"/>
        <v>798.25451362963304</v>
      </c>
      <c r="O652" s="346">
        <f t="shared" si="252"/>
        <v>10.1581920135517</v>
      </c>
      <c r="P652" s="346">
        <f t="shared" si="252"/>
        <v>44.741365933266394</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25">
      <c r="E653" s="336"/>
      <c r="F653" s="2" t="s">
        <v>980</v>
      </c>
      <c r="G653" t="s">
        <v>255</v>
      </c>
      <c r="J653" s="346">
        <f>J176</f>
        <v>0</v>
      </c>
      <c r="K653" s="346">
        <f t="shared" ref="K653:Y653" si="253">K176</f>
        <v>0</v>
      </c>
      <c r="L653" s="346">
        <f t="shared" si="253"/>
        <v>0</v>
      </c>
      <c r="M653" s="346">
        <f t="shared" si="253"/>
        <v>0</v>
      </c>
      <c r="N653" s="346">
        <f t="shared" si="253"/>
        <v>853.18216706825672</v>
      </c>
      <c r="O653" s="346">
        <f t="shared" si="253"/>
        <v>18.237790525480047</v>
      </c>
      <c r="P653" s="346">
        <f t="shared" si="253"/>
        <v>95.327713785052126</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25">
      <c r="E654" s="336"/>
      <c r="F654" s="2" t="s">
        <v>982</v>
      </c>
      <c r="G654" t="s">
        <v>255</v>
      </c>
      <c r="J654" s="91">
        <f>J185</f>
        <v>0</v>
      </c>
      <c r="K654" s="91">
        <f t="shared" ref="K654:Y654" si="254">K185</f>
        <v>0</v>
      </c>
      <c r="L654" s="91">
        <f t="shared" si="254"/>
        <v>0</v>
      </c>
      <c r="M654" s="91">
        <f t="shared" si="254"/>
        <v>0</v>
      </c>
      <c r="N654" s="91">
        <f t="shared" si="254"/>
        <v>470.30191571840942</v>
      </c>
      <c r="O654" s="91">
        <f t="shared" si="254"/>
        <v>18.124958612219395</v>
      </c>
      <c r="P654" s="91">
        <f t="shared" si="254"/>
        <v>84.013245992628853</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37" t="s">
        <v>981</v>
      </c>
      <c r="G655" s="28" t="s">
        <v>255</v>
      </c>
      <c r="H655" s="28"/>
      <c r="I655" s="28"/>
      <c r="J655" s="346">
        <f>J194</f>
        <v>0</v>
      </c>
      <c r="K655" s="346">
        <f t="shared" ref="K655:Y655" si="255">K194</f>
        <v>0</v>
      </c>
      <c r="L655" s="346">
        <f t="shared" si="255"/>
        <v>0</v>
      </c>
      <c r="M655" s="346">
        <f t="shared" si="255"/>
        <v>0</v>
      </c>
      <c r="N655" s="346">
        <f t="shared" si="255"/>
        <v>598.91518115046983</v>
      </c>
      <c r="O655" s="346">
        <f t="shared" si="255"/>
        <v>73.565160939536113</v>
      </c>
      <c r="P655" s="346">
        <f t="shared" si="255"/>
        <v>173.60026063530671</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25">
      <c r="AQ656" s="3"/>
    </row>
    <row r="657" spans="3:43" x14ac:dyDescent="0.25">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155</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64" t="s">
        <v>978</v>
      </c>
      <c r="K664" s="364" t="s">
        <v>983</v>
      </c>
      <c r="L664" s="364" t="s">
        <v>984</v>
      </c>
      <c r="M664" s="364" t="s">
        <v>985</v>
      </c>
      <c r="N664" s="364" t="s">
        <v>986</v>
      </c>
      <c r="AQ664" s="3"/>
    </row>
    <row r="665" spans="3:43" x14ac:dyDescent="0.25">
      <c r="E665" s="27"/>
      <c r="F665" s="19" t="s">
        <v>248</v>
      </c>
      <c r="G665" s="19" t="s">
        <v>168</v>
      </c>
      <c r="H665" s="19"/>
      <c r="I665" s="19"/>
      <c r="J665" s="327">
        <f>'Inputs by customer type'!J169</f>
        <v>1.7017310565745917E-5</v>
      </c>
      <c r="K665" s="327">
        <f>'Inputs by customer type'!K169</f>
        <v>4.5415020403353837E-2</v>
      </c>
      <c r="L665" s="327">
        <f>'Inputs by customer type'!L169</f>
        <v>0.18166077971907243</v>
      </c>
      <c r="M665" s="327">
        <f>'Inputs by customer type'!M169</f>
        <v>0.17892270125782256</v>
      </c>
      <c r="N665" s="327">
        <f>'Inputs by customer type'!N169</f>
        <v>0.59398448130918535</v>
      </c>
      <c r="AQ665" s="3"/>
    </row>
    <row r="666" spans="3:43" x14ac:dyDescent="0.25">
      <c r="E666" s="27"/>
      <c r="F666" t="s">
        <v>249</v>
      </c>
      <c r="G666" t="s">
        <v>168</v>
      </c>
      <c r="J666" s="328">
        <f>'Inputs by customer type'!J170</f>
        <v>1.7017310565745921E-5</v>
      </c>
      <c r="K666" s="328">
        <f>'Inputs by customer type'!K170</f>
        <v>4.5415020403353851E-2</v>
      </c>
      <c r="L666" s="328">
        <f>'Inputs by customer type'!L170</f>
        <v>0.18166077971907241</v>
      </c>
      <c r="M666" s="328">
        <f>'Inputs by customer type'!M170</f>
        <v>0.17892270125782256</v>
      </c>
      <c r="N666" s="328">
        <f>'Inputs by customer type'!N170</f>
        <v>0.59398448130918546</v>
      </c>
      <c r="AQ666" s="3"/>
    </row>
    <row r="667" spans="3:43" x14ac:dyDescent="0.25">
      <c r="E667" s="27"/>
      <c r="F667" s="28" t="s">
        <v>250</v>
      </c>
      <c r="G667" s="28" t="s">
        <v>168</v>
      </c>
      <c r="H667" s="28"/>
      <c r="I667" s="28"/>
      <c r="J667" s="329">
        <f>'Inputs by customer type'!J171</f>
        <v>1.7017310565745921E-5</v>
      </c>
      <c r="K667" s="329">
        <f>'Inputs by customer type'!K171</f>
        <v>4.5415020403353844E-2</v>
      </c>
      <c r="L667" s="329">
        <f>'Inputs by customer type'!L171</f>
        <v>0.18166077971907238</v>
      </c>
      <c r="M667" s="329">
        <f>'Inputs by customer type'!M171</f>
        <v>0.17892270125782259</v>
      </c>
      <c r="N667" s="329">
        <f>'Inputs by customer type'!N171</f>
        <v>0.59398448130918546</v>
      </c>
      <c r="AQ667" s="3"/>
    </row>
    <row r="668" spans="3:43" x14ac:dyDescent="0.25">
      <c r="E668" s="27"/>
      <c r="AQ668" s="3"/>
    </row>
    <row r="669" spans="3:43" x14ac:dyDescent="0.25">
      <c r="E669" s="27" t="s">
        <v>988</v>
      </c>
      <c r="J669" s="364" t="s">
        <v>978</v>
      </c>
      <c r="K669" s="364" t="s">
        <v>983</v>
      </c>
      <c r="L669" s="364" t="s">
        <v>984</v>
      </c>
      <c r="M669" s="364" t="s">
        <v>985</v>
      </c>
      <c r="N669" s="364" t="s">
        <v>986</v>
      </c>
      <c r="AQ669" s="3"/>
    </row>
    <row r="670" spans="3:43" x14ac:dyDescent="0.25">
      <c r="E670" s="27"/>
      <c r="F670" s="19" t="s">
        <v>248</v>
      </c>
      <c r="G670" s="19" t="s">
        <v>168</v>
      </c>
      <c r="H670" s="19"/>
      <c r="I670" s="19"/>
      <c r="J670" s="327">
        <f>'Inputs by customer type'!J174</f>
        <v>1.7017310565745917E-5</v>
      </c>
      <c r="K670" s="327">
        <f>'Inputs by customer type'!K174</f>
        <v>4.5415020403353837E-2</v>
      </c>
      <c r="L670" s="327">
        <f>'Inputs by customer type'!L174</f>
        <v>0.18166077971907243</v>
      </c>
      <c r="M670" s="327">
        <f>'Inputs by customer type'!M174</f>
        <v>0.17892270125782256</v>
      </c>
      <c r="N670" s="327">
        <f>'Inputs by customer type'!N174</f>
        <v>0.59398448130918535</v>
      </c>
      <c r="AQ670" s="3"/>
    </row>
    <row r="671" spans="3:43" x14ac:dyDescent="0.25">
      <c r="E671" s="27"/>
      <c r="F671" t="s">
        <v>249</v>
      </c>
      <c r="G671" t="s">
        <v>168</v>
      </c>
      <c r="J671" s="328">
        <f>'Inputs by customer type'!J175</f>
        <v>1.7017310565745921E-5</v>
      </c>
      <c r="K671" s="328">
        <f>'Inputs by customer type'!K175</f>
        <v>4.5415020403353851E-2</v>
      </c>
      <c r="L671" s="328">
        <f>'Inputs by customer type'!L175</f>
        <v>0.18166077971907241</v>
      </c>
      <c r="M671" s="328">
        <f>'Inputs by customer type'!M175</f>
        <v>0.17892270125782256</v>
      </c>
      <c r="N671" s="328">
        <f>'Inputs by customer type'!N175</f>
        <v>0.59398448130918546</v>
      </c>
      <c r="AQ671" s="3"/>
    </row>
    <row r="672" spans="3:43" x14ac:dyDescent="0.25">
      <c r="E672" s="27"/>
      <c r="F672" s="28" t="s">
        <v>250</v>
      </c>
      <c r="G672" s="28" t="s">
        <v>168</v>
      </c>
      <c r="H672" s="28"/>
      <c r="I672" s="28"/>
      <c r="J672" s="329">
        <f>'Inputs by customer type'!J176</f>
        <v>1.7017310565745921E-5</v>
      </c>
      <c r="K672" s="329">
        <f>'Inputs by customer type'!K176</f>
        <v>4.5415020403353844E-2</v>
      </c>
      <c r="L672" s="329">
        <f>'Inputs by customer type'!L176</f>
        <v>0.18166077971907238</v>
      </c>
      <c r="M672" s="329">
        <f>'Inputs by customer type'!M176</f>
        <v>0.17892270125782259</v>
      </c>
      <c r="N672" s="329">
        <f>'Inputs by customer type'!N176</f>
        <v>0.59398448130918546</v>
      </c>
      <c r="AQ672" s="3"/>
    </row>
    <row r="673" spans="5:43" x14ac:dyDescent="0.25">
      <c r="E673" s="27"/>
      <c r="AQ673" s="3"/>
    </row>
    <row r="674" spans="5:43" x14ac:dyDescent="0.25">
      <c r="E674" s="27" t="s">
        <v>989</v>
      </c>
      <c r="J674" s="364" t="s">
        <v>978</v>
      </c>
      <c r="K674" s="364" t="s">
        <v>983</v>
      </c>
      <c r="L674" s="364" t="s">
        <v>984</v>
      </c>
      <c r="M674" s="364" t="s">
        <v>985</v>
      </c>
      <c r="N674" s="364" t="s">
        <v>986</v>
      </c>
      <c r="AQ674" s="3"/>
    </row>
    <row r="675" spans="5:43" x14ac:dyDescent="0.25">
      <c r="F675" s="19" t="s">
        <v>248</v>
      </c>
      <c r="G675" s="19" t="s">
        <v>168</v>
      </c>
      <c r="H675" s="19"/>
      <c r="I675" s="19"/>
      <c r="J675" s="327">
        <f>'Inputs by customer type'!J179</f>
        <v>1.7017310565745917E-5</v>
      </c>
      <c r="K675" s="327">
        <f>'Inputs by customer type'!K179</f>
        <v>4.5415020403353837E-2</v>
      </c>
      <c r="L675" s="327">
        <f>'Inputs by customer type'!L179</f>
        <v>0.18166077971907243</v>
      </c>
      <c r="M675" s="327">
        <f>'Inputs by customer type'!M179</f>
        <v>0.17892270125782256</v>
      </c>
      <c r="N675" s="327">
        <f>'Inputs by customer type'!N179</f>
        <v>0.59398448130918535</v>
      </c>
      <c r="AQ675" s="3"/>
    </row>
    <row r="676" spans="5:43" x14ac:dyDescent="0.25">
      <c r="F676" t="s">
        <v>249</v>
      </c>
      <c r="G676" t="s">
        <v>168</v>
      </c>
      <c r="J676" s="328">
        <f>'Inputs by customer type'!J180</f>
        <v>1.7017310565745921E-5</v>
      </c>
      <c r="K676" s="328">
        <f>'Inputs by customer type'!K180</f>
        <v>4.5415020403353851E-2</v>
      </c>
      <c r="L676" s="328">
        <f>'Inputs by customer type'!L180</f>
        <v>0.18166077971907241</v>
      </c>
      <c r="M676" s="328">
        <f>'Inputs by customer type'!M180</f>
        <v>0.17892270125782256</v>
      </c>
      <c r="N676" s="328">
        <f>'Inputs by customer type'!N180</f>
        <v>0.59398448130918546</v>
      </c>
      <c r="AQ676" s="3"/>
    </row>
    <row r="677" spans="5:43" x14ac:dyDescent="0.25">
      <c r="F677" s="28" t="s">
        <v>250</v>
      </c>
      <c r="G677" s="28" t="s">
        <v>168</v>
      </c>
      <c r="H677" s="28"/>
      <c r="I677" s="28"/>
      <c r="J677" s="329">
        <f>'Inputs by customer type'!J181</f>
        <v>1.7017310565745921E-5</v>
      </c>
      <c r="K677" s="329">
        <f>'Inputs by customer type'!K181</f>
        <v>4.5415020403353844E-2</v>
      </c>
      <c r="L677" s="329">
        <f>'Inputs by customer type'!L181</f>
        <v>0.18166077971907238</v>
      </c>
      <c r="M677" s="329">
        <f>'Inputs by customer type'!M181</f>
        <v>0.17892270125782259</v>
      </c>
      <c r="N677" s="329">
        <f>'Inputs by customer type'!N181</f>
        <v>0.59398448130918546</v>
      </c>
      <c r="AQ677" s="3"/>
    </row>
    <row r="678" spans="5:43" x14ac:dyDescent="0.25">
      <c r="AQ678" s="3"/>
    </row>
    <row r="679" spans="5:43" x14ac:dyDescent="0.25">
      <c r="E679" s="27" t="s">
        <v>991</v>
      </c>
      <c r="J679" s="364" t="s">
        <v>978</v>
      </c>
      <c r="K679" s="364" t="s">
        <v>983</v>
      </c>
      <c r="L679" s="364" t="s">
        <v>984</v>
      </c>
      <c r="M679" s="364" t="s">
        <v>985</v>
      </c>
      <c r="N679" s="364" t="s">
        <v>986</v>
      </c>
      <c r="AQ679" s="3"/>
    </row>
    <row r="680" spans="5:43" x14ac:dyDescent="0.25">
      <c r="F680" s="19" t="s">
        <v>248</v>
      </c>
      <c r="G680" s="19" t="s">
        <v>208</v>
      </c>
      <c r="H680" s="19"/>
      <c r="I680" s="19"/>
      <c r="J680" s="348">
        <f t="shared" ref="J680:N682" si="256" xml:space="preserve"> $M58 * J665  + $M105 * J670 + $M152 * J675</f>
        <v>4.4856597678637943E-4</v>
      </c>
      <c r="K680" s="348">
        <f t="shared" si="256"/>
        <v>1.1971123703301128</v>
      </c>
      <c r="L680" s="348">
        <f t="shared" si="256"/>
        <v>4.7884678829618119</v>
      </c>
      <c r="M680" s="348">
        <f t="shared" si="256"/>
        <v>4.7162937967721561</v>
      </c>
      <c r="N680" s="348">
        <f t="shared" si="256"/>
        <v>15.65707037107992</v>
      </c>
      <c r="AQ680" s="3"/>
    </row>
    <row r="681" spans="5:43" x14ac:dyDescent="0.25">
      <c r="F681" t="s">
        <v>249</v>
      </c>
      <c r="G681" t="s">
        <v>208</v>
      </c>
      <c r="J681" s="347">
        <f t="shared" si="256"/>
        <v>2.6197755236446907E-2</v>
      </c>
      <c r="K681" s="347">
        <f t="shared" si="256"/>
        <v>69.91537140893422</v>
      </c>
      <c r="L681" s="347">
        <f t="shared" si="256"/>
        <v>279.66256035321709</v>
      </c>
      <c r="M681" s="347">
        <f t="shared" si="256"/>
        <v>275.44735201762978</v>
      </c>
      <c r="N681" s="347">
        <f t="shared" si="256"/>
        <v>914.42534326832538</v>
      </c>
      <c r="AQ681" s="3"/>
    </row>
    <row r="682" spans="5:43" x14ac:dyDescent="0.25">
      <c r="F682" s="28" t="s">
        <v>250</v>
      </c>
      <c r="G682" s="28" t="s">
        <v>208</v>
      </c>
      <c r="H682" s="28"/>
      <c r="I682" s="28"/>
      <c r="J682" s="349">
        <f t="shared" si="256"/>
        <v>0.18346980023200249</v>
      </c>
      <c r="K682" s="349">
        <f t="shared" si="256"/>
        <v>489.635814586805</v>
      </c>
      <c r="L682" s="349">
        <f t="shared" si="256"/>
        <v>1958.5507848776276</v>
      </c>
      <c r="M682" s="349">
        <f t="shared" si="256"/>
        <v>1929.0305674282126</v>
      </c>
      <c r="N682" s="349">
        <f t="shared" si="256"/>
        <v>6403.9622304400855</v>
      </c>
      <c r="AQ682" s="3"/>
    </row>
    <row r="683" spans="5:43" x14ac:dyDescent="0.25">
      <c r="J683" s="79"/>
      <c r="K683" s="79"/>
      <c r="L683" s="79"/>
      <c r="M683" s="79"/>
      <c r="N683" s="79"/>
      <c r="AQ683" s="3"/>
    </row>
    <row r="684" spans="5:43" x14ac:dyDescent="0.25">
      <c r="J684" s="365" t="s">
        <v>978</v>
      </c>
      <c r="K684" s="365" t="s">
        <v>983</v>
      </c>
      <c r="L684" s="365" t="s">
        <v>984</v>
      </c>
      <c r="M684" s="365" t="s">
        <v>985</v>
      </c>
      <c r="N684" s="365" t="s">
        <v>986</v>
      </c>
      <c r="AQ684" s="3"/>
    </row>
    <row r="685" spans="5:43" x14ac:dyDescent="0.25">
      <c r="E685" s="20" t="s">
        <v>992</v>
      </c>
      <c r="G685" t="s">
        <v>208</v>
      </c>
      <c r="J685" s="79">
        <f>SUM(J680:J682)</f>
        <v>0.21011612144523578</v>
      </c>
      <c r="K685" s="79">
        <f>SUM(K680:K682)</f>
        <v>560.74829836606932</v>
      </c>
      <c r="L685" s="79">
        <f t="shared" ref="L685:N685" si="257">SUM(L680:L682)</f>
        <v>2243.0018131138067</v>
      </c>
      <c r="M685" s="79">
        <f t="shared" si="257"/>
        <v>2209.1942132426148</v>
      </c>
      <c r="N685" s="79">
        <f t="shared" si="257"/>
        <v>7334.0446440794913</v>
      </c>
      <c r="AQ685" s="3"/>
    </row>
    <row r="686" spans="5:43" x14ac:dyDescent="0.25">
      <c r="J686" s="79"/>
      <c r="K686" s="79"/>
      <c r="L686" s="79"/>
      <c r="M686" s="79"/>
      <c r="N686" s="79"/>
      <c r="AQ686" s="3"/>
    </row>
    <row r="687" spans="5:43" x14ac:dyDescent="0.25">
      <c r="E687" t="s">
        <v>1036</v>
      </c>
      <c r="G687" t="s">
        <v>208</v>
      </c>
      <c r="H687" s="79">
        <f>SUM(J685:N685)</f>
        <v>12347.199084923428</v>
      </c>
      <c r="AQ687" s="3"/>
    </row>
    <row r="688" spans="5:43" x14ac:dyDescent="0.25">
      <c r="J688" s="365" t="s">
        <v>978</v>
      </c>
      <c r="K688" s="365" t="s">
        <v>983</v>
      </c>
      <c r="L688" s="365" t="s">
        <v>984</v>
      </c>
      <c r="M688" s="365" t="s">
        <v>985</v>
      </c>
      <c r="N688" s="365" t="s">
        <v>986</v>
      </c>
      <c r="AQ688" s="3"/>
    </row>
    <row r="689" spans="2:43" x14ac:dyDescent="0.25">
      <c r="E689" s="20" t="s">
        <v>991</v>
      </c>
      <c r="G689" t="s">
        <v>168</v>
      </c>
      <c r="J689" s="101">
        <f>IF($H687 &lt;&gt; 0, J685/$H687, 0)</f>
        <v>1.7017310565745917E-5</v>
      </c>
      <c r="K689" s="101">
        <f>IF($H687 &lt;&gt; 0, K685/$H687, 0)</f>
        <v>4.5415020403353837E-2</v>
      </c>
      <c r="L689" s="101">
        <f>IF($H687 &lt;&gt; 0, L685/$H687, 0)</f>
        <v>0.18166077971907238</v>
      </c>
      <c r="M689" s="101">
        <f>IF($H687 &lt;&gt; 0, M685/$H687, 0)</f>
        <v>0.17892270125782259</v>
      </c>
      <c r="N689" s="101">
        <f>IF($H687 &lt;&gt; 0, N685/$H687, 0)</f>
        <v>0.59398448130918546</v>
      </c>
      <c r="AQ689" s="3"/>
    </row>
    <row r="690" spans="2:43" x14ac:dyDescent="0.25">
      <c r="AQ690" s="3"/>
    </row>
    <row r="691" spans="2:43" x14ac:dyDescent="0.25">
      <c r="B691" s="25" t="s">
        <v>232</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233</v>
      </c>
      <c r="G693" s="6" t="s">
        <v>56</v>
      </c>
      <c r="H693" s="93">
        <f t="array" ref="H693">SUM(IF(ISERROR(H22:Y309), 1))</f>
        <v>0</v>
      </c>
    </row>
    <row r="695" spans="2:43" x14ac:dyDescent="0.25">
      <c r="B695" s="25" t="s">
        <v>107</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0" t="s">
        <v>144</v>
      </c>
      <c r="H5" s="104" t="s">
        <v>145</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146</v>
      </c>
    </row>
    <row r="7" spans="1:27" x14ac:dyDescent="0.25">
      <c r="B7" s="25" t="s">
        <v>11</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155</v>
      </c>
      <c r="AA15" t="s">
        <v>860</v>
      </c>
    </row>
    <row r="16" spans="1:27" x14ac:dyDescent="0.25">
      <c r="C16" s="24" t="s">
        <v>458</v>
      </c>
    </row>
    <row r="18" spans="3:27" x14ac:dyDescent="0.25">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25">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25">
      <c r="E22" s="27" t="s">
        <v>461</v>
      </c>
      <c r="I22" t="s">
        <v>155</v>
      </c>
      <c r="AA22" t="s">
        <v>462</v>
      </c>
    </row>
    <row r="23" spans="3:27" x14ac:dyDescent="0.25">
      <c r="E23" s="24" t="s">
        <v>463</v>
      </c>
      <c r="F23" s="24"/>
    </row>
    <row r="24" spans="3:27" x14ac:dyDescent="0.25">
      <c r="F24" s="54" t="s">
        <v>464</v>
      </c>
      <c r="G24" s="54" t="s">
        <v>148</v>
      </c>
      <c r="H24" s="139"/>
      <c r="I24" s="139"/>
      <c r="J24" s="114">
        <f>IF(J$20, 'General inputs'!$H16, 'General inputs'!$H21)</f>
        <v>522</v>
      </c>
      <c r="K24" s="114">
        <f>IF(K$20, 'General inputs'!$H16, 'General inputs'!$H21)</f>
        <v>522</v>
      </c>
      <c r="L24" s="114">
        <f>IF(L$20, 'General inputs'!$H16, 'General inputs'!$H21)</f>
        <v>522</v>
      </c>
      <c r="M24" s="114">
        <f>IF(M$20, 'General inputs'!$H16, 'General inputs'!$H21)</f>
        <v>522</v>
      </c>
      <c r="N24" s="114">
        <f>IF(N$20, 'General inputs'!$H16, 'General inputs'!$H21)</f>
        <v>522</v>
      </c>
      <c r="O24" s="114">
        <f>IF(O$20, 'General inputs'!$H16, 'General inputs'!$H21)</f>
        <v>522</v>
      </c>
      <c r="P24" s="114">
        <f>IF(P$20, 'General inputs'!$H16, 'General inputs'!$H21)</f>
        <v>522</v>
      </c>
      <c r="Q24" s="114">
        <f>IF(Q$20, 'General inputs'!$H16, 'General inputs'!$H21)</f>
        <v>152</v>
      </c>
      <c r="R24" s="114">
        <f>IF(R$20, 'General inputs'!$H16, 'General inputs'!$H21)</f>
        <v>522</v>
      </c>
      <c r="S24" s="114">
        <f>IF(S$20, 'General inputs'!$H16, 'General inputs'!$H21)</f>
        <v>522</v>
      </c>
      <c r="T24" s="114">
        <f>IF(T$20, 'General inputs'!$H16, 'General inputs'!$H21)</f>
        <v>522</v>
      </c>
      <c r="U24" s="114">
        <f>IF(U$20, 'General inputs'!$H16, 'General inputs'!$H21)</f>
        <v>522</v>
      </c>
      <c r="V24" s="114">
        <f>IF(V$20, 'General inputs'!$H16, 'General inputs'!$H21)</f>
        <v>522</v>
      </c>
      <c r="W24" s="114">
        <f>IF(W$20, 'General inputs'!$H16, 'General inputs'!$H21)</f>
        <v>522</v>
      </c>
      <c r="X24" s="114">
        <f>IF(X$20, 'General inputs'!$H16, 'General inputs'!$H21)</f>
        <v>522</v>
      </c>
      <c r="Y24" s="114">
        <f>IF(Y$20, 'General inputs'!$H16, 'General inputs'!$H21)</f>
        <v>522</v>
      </c>
    </row>
    <row r="25" spans="3:27" x14ac:dyDescent="0.25">
      <c r="F25" s="23" t="s">
        <v>465</v>
      </c>
      <c r="G25" t="s">
        <v>148</v>
      </c>
      <c r="H25" s="140"/>
      <c r="I25" s="140"/>
      <c r="J25" s="110">
        <f>IF(J$20, 'General inputs'!$H17, 'General inputs'!$H22)</f>
        <v>3444</v>
      </c>
      <c r="K25" s="110">
        <f>IF(K$20, 'General inputs'!$H17, 'General inputs'!$H22)</f>
        <v>3444</v>
      </c>
      <c r="L25" s="110">
        <f>IF(L$20, 'General inputs'!$H17, 'General inputs'!$H22)</f>
        <v>3444</v>
      </c>
      <c r="M25" s="110">
        <f>IF(M$20, 'General inputs'!$H17, 'General inputs'!$H22)</f>
        <v>3444</v>
      </c>
      <c r="N25" s="110">
        <f>IF(N$20, 'General inputs'!$H17, 'General inputs'!$H22)</f>
        <v>3444</v>
      </c>
      <c r="O25" s="110">
        <f>IF(O$20, 'General inputs'!$H17, 'General inputs'!$H22)</f>
        <v>3444</v>
      </c>
      <c r="P25" s="110">
        <f>IF(P$20, 'General inputs'!$H17, 'General inputs'!$H22)</f>
        <v>3444</v>
      </c>
      <c r="Q25" s="110">
        <f>IF(Q$20, 'General inputs'!$H17, 'General inputs'!$H22)</f>
        <v>3814</v>
      </c>
      <c r="R25" s="110">
        <f>IF(R$20, 'General inputs'!$H17, 'General inputs'!$H22)</f>
        <v>3444</v>
      </c>
      <c r="S25" s="110">
        <f>IF(S$20, 'General inputs'!$H17, 'General inputs'!$H22)</f>
        <v>3444</v>
      </c>
      <c r="T25" s="110">
        <f>IF(T$20, 'General inputs'!$H17, 'General inputs'!$H22)</f>
        <v>3444</v>
      </c>
      <c r="U25" s="110">
        <f>IF(U$20, 'General inputs'!$H17, 'General inputs'!$H22)</f>
        <v>3444</v>
      </c>
      <c r="V25" s="110">
        <f>IF(V$20, 'General inputs'!$H17, 'General inputs'!$H22)</f>
        <v>3444</v>
      </c>
      <c r="W25" s="110">
        <f>IF(W$20, 'General inputs'!$H17, 'General inputs'!$H22)</f>
        <v>3444</v>
      </c>
      <c r="X25" s="110">
        <f>IF(X$20, 'General inputs'!$H17, 'General inputs'!$H22)</f>
        <v>3444</v>
      </c>
      <c r="Y25" s="110">
        <f>IF(Y$20, 'General inputs'!$H17, 'General inputs'!$H22)</f>
        <v>3444</v>
      </c>
    </row>
    <row r="26" spans="3:27" x14ac:dyDescent="0.25">
      <c r="F26" s="57" t="s">
        <v>258</v>
      </c>
      <c r="G26" s="28" t="s">
        <v>148</v>
      </c>
      <c r="H26" s="141"/>
      <c r="I26" s="141"/>
      <c r="J26" s="115">
        <f>IF(J$20, 'General inputs'!$H18, 'General inputs'!$H23)</f>
        <v>4794</v>
      </c>
      <c r="K26" s="115">
        <f>IF(K$20, 'General inputs'!$H18, 'General inputs'!$H23)</f>
        <v>4794</v>
      </c>
      <c r="L26" s="115">
        <f>IF(L$20, 'General inputs'!$H18, 'General inputs'!$H23)</f>
        <v>4794</v>
      </c>
      <c r="M26" s="115">
        <f>IF(M$20, 'General inputs'!$H18, 'General inputs'!$H23)</f>
        <v>4794</v>
      </c>
      <c r="N26" s="115">
        <f>IF(N$20, 'General inputs'!$H18, 'General inputs'!$H23)</f>
        <v>4794</v>
      </c>
      <c r="O26" s="115">
        <f>IF(O$20, 'General inputs'!$H18, 'General inputs'!$H23)</f>
        <v>4794</v>
      </c>
      <c r="P26" s="115">
        <f>IF(P$20, 'General inputs'!$H18, 'General inputs'!$H23)</f>
        <v>4794</v>
      </c>
      <c r="Q26" s="115">
        <f>IF(Q$20, 'General inputs'!$H18, 'General inputs'!$H23)</f>
        <v>4794</v>
      </c>
      <c r="R26" s="115">
        <f>IF(R$20, 'General inputs'!$H18, 'General inputs'!$H23)</f>
        <v>4794</v>
      </c>
      <c r="S26" s="115">
        <f>IF(S$20, 'General inputs'!$H18, 'General inputs'!$H23)</f>
        <v>4794</v>
      </c>
      <c r="T26" s="115">
        <f>IF(T$20, 'General inputs'!$H18, 'General inputs'!$H23)</f>
        <v>4794</v>
      </c>
      <c r="U26" s="115">
        <f>IF(U$20, 'General inputs'!$H18, 'General inputs'!$H23)</f>
        <v>4794</v>
      </c>
      <c r="V26" s="115">
        <f>IF(V$20, 'General inputs'!$H18, 'General inputs'!$H23)</f>
        <v>4794</v>
      </c>
      <c r="W26" s="115">
        <f>IF(W$20, 'General inputs'!$H18, 'General inputs'!$H23)</f>
        <v>4794</v>
      </c>
      <c r="X26" s="115">
        <f>IF(X$20, 'General inputs'!$H18, 'General inputs'!$H23)</f>
        <v>4794</v>
      </c>
      <c r="Y26" s="115">
        <f>IF(Y$20, 'General inputs'!$H18, 'General inputs'!$H23)</f>
        <v>4794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157</v>
      </c>
      <c r="G31" s="54" t="s">
        <v>208</v>
      </c>
      <c r="H31" s="19"/>
      <c r="I31" s="19"/>
      <c r="J31" s="114">
        <f>'Volume adjustments'!J238</f>
        <v>428149.96695391025</v>
      </c>
      <c r="K31" s="114">
        <f>'Volume adjustments'!K238</f>
        <v>35.655431680661394</v>
      </c>
      <c r="L31" s="114">
        <f>'Volume adjustments'!L238</f>
        <v>115271.26151054395</v>
      </c>
      <c r="M31" s="114">
        <f>'Volume adjustments'!M238</f>
        <v>26.359392987120788</v>
      </c>
      <c r="N31" s="114">
        <f>'Volume adjustments'!N238</f>
        <v>90259.895860640521</v>
      </c>
      <c r="O31" s="114">
        <f>'Volume adjustments'!O238</f>
        <v>42295.127275724582</v>
      </c>
      <c r="P31" s="114">
        <f>'Volume adjustments'!P238</f>
        <v>140632.27697071002</v>
      </c>
      <c r="Q31" s="114">
        <f>'Volume adjustments'!Q238</f>
        <v>3026.8327703338973</v>
      </c>
      <c r="R31" s="114">
        <f>'Volume adjustments'!R238</f>
        <v>457.81298617729391</v>
      </c>
      <c r="S31" s="114">
        <f>'Volume adjustments'!S238</f>
        <v>0</v>
      </c>
      <c r="T31" s="114">
        <f>'Volume adjustments'!T238</f>
        <v>3301.2298045794673</v>
      </c>
      <c r="U31" s="114">
        <f>'Volume adjustments'!U238</f>
        <v>0</v>
      </c>
      <c r="V31" s="114">
        <f>'Volume adjustments'!V238</f>
        <v>811.80541464978148</v>
      </c>
      <c r="W31" s="114">
        <f>'Volume adjustments'!W238</f>
        <v>0</v>
      </c>
      <c r="X31" s="114">
        <f>'Volume adjustments'!X238</f>
        <v>36268.325369716345</v>
      </c>
      <c r="Y31" s="114">
        <f>'Volume adjustments'!Y238</f>
        <v>0</v>
      </c>
    </row>
    <row r="32" spans="3:27" x14ac:dyDescent="0.25">
      <c r="F32" s="23" t="s">
        <v>158</v>
      </c>
      <c r="G32" s="23" t="s">
        <v>208</v>
      </c>
      <c r="J32" s="110">
        <f>'Volume adjustments'!J249</f>
        <v>2239763.2669037757</v>
      </c>
      <c r="K32" s="110">
        <f>'Volume adjustments'!K249</f>
        <v>3242.2928055299481</v>
      </c>
      <c r="L32" s="110">
        <f>'Volume adjustments'!L249</f>
        <v>919983.5100707981</v>
      </c>
      <c r="M32" s="110">
        <f>'Volume adjustments'!M249</f>
        <v>1539.4768248033429</v>
      </c>
      <c r="N32" s="110">
        <f>'Volume adjustments'!N249</f>
        <v>649271.46488200722</v>
      </c>
      <c r="O32" s="110">
        <f>'Volume adjustments'!O249</f>
        <v>309913.61345495057</v>
      </c>
      <c r="P32" s="110">
        <f>'Volume adjustments'!P249</f>
        <v>976456.21111019235</v>
      </c>
      <c r="Q32" s="110">
        <f>'Volume adjustments'!Q249</f>
        <v>28127.672923672086</v>
      </c>
      <c r="R32" s="110">
        <f>'Volume adjustments'!R249</f>
        <v>4560.9701820488117</v>
      </c>
      <c r="S32" s="110">
        <f>'Volume adjustments'!S249</f>
        <v>0</v>
      </c>
      <c r="T32" s="110">
        <f>'Volume adjustments'!T249</f>
        <v>31812.380256598921</v>
      </c>
      <c r="U32" s="110">
        <f>'Volume adjustments'!U249</f>
        <v>0</v>
      </c>
      <c r="V32" s="110">
        <f>'Volume adjustments'!V249</f>
        <v>7185.4690196373358</v>
      </c>
      <c r="W32" s="110">
        <f>'Volume adjustments'!W249</f>
        <v>0</v>
      </c>
      <c r="X32" s="110">
        <f>'Volume adjustments'!X249</f>
        <v>289073.53494591836</v>
      </c>
      <c r="Y32" s="110">
        <f>'Volume adjustments'!Y249</f>
        <v>0</v>
      </c>
    </row>
    <row r="33" spans="3:27" x14ac:dyDescent="0.25">
      <c r="F33" s="23" t="s">
        <v>159</v>
      </c>
      <c r="G33" s="23" t="s">
        <v>208</v>
      </c>
      <c r="J33" s="110">
        <f>'Volume adjustments'!J260</f>
        <v>2506644.8271904094</v>
      </c>
      <c r="K33" s="110">
        <f>'Volume adjustments'!K260</f>
        <v>25948.408931906615</v>
      </c>
      <c r="L33" s="110">
        <f>'Volume adjustments'!L260</f>
        <v>783855.09448828013</v>
      </c>
      <c r="M33" s="110">
        <f>'Volume adjustments'!M260</f>
        <v>10781.362867132962</v>
      </c>
      <c r="N33" s="110">
        <f>'Volume adjustments'!N260</f>
        <v>579107.3875576118</v>
      </c>
      <c r="O33" s="110">
        <f>'Volume adjustments'!O260</f>
        <v>306405.31886340748</v>
      </c>
      <c r="P33" s="110">
        <f>'Volume adjustments'!P260</f>
        <v>1111284.4276109242</v>
      </c>
      <c r="Q33" s="110">
        <f>'Volume adjustments'!Q260</f>
        <v>69645.577244407395</v>
      </c>
      <c r="R33" s="110">
        <f>'Volume adjustments'!R260</f>
        <v>2254.3906596998399</v>
      </c>
      <c r="S33" s="110">
        <f>'Volume adjustments'!S260</f>
        <v>0</v>
      </c>
      <c r="T33" s="110">
        <f>'Volume adjustments'!T260</f>
        <v>27528.063337650925</v>
      </c>
      <c r="U33" s="110">
        <f>'Volume adjustments'!U260</f>
        <v>0</v>
      </c>
      <c r="V33" s="110">
        <f>'Volume adjustments'!V260</f>
        <v>6962.9505694314412</v>
      </c>
      <c r="W33" s="110">
        <f>'Volume adjustments'!W260</f>
        <v>0</v>
      </c>
      <c r="X33" s="110">
        <f>'Volume adjustments'!X260</f>
        <v>234787.57468174878</v>
      </c>
      <c r="Y33" s="110">
        <f>'Volume adjustments'!Y260</f>
        <v>0</v>
      </c>
    </row>
    <row r="34" spans="3:27" x14ac:dyDescent="0.25">
      <c r="F34" s="142" t="s">
        <v>454</v>
      </c>
      <c r="G34" s="142" t="s">
        <v>208</v>
      </c>
      <c r="H34" s="98"/>
      <c r="I34" s="98"/>
      <c r="J34" s="143">
        <f t="shared" ref="J34:Y34" si="0">SUM(J31:J33)</f>
        <v>5174558.061048096</v>
      </c>
      <c r="K34" s="143">
        <f t="shared" si="0"/>
        <v>29226.357169117226</v>
      </c>
      <c r="L34" s="143">
        <f t="shared" si="0"/>
        <v>1819109.8660696223</v>
      </c>
      <c r="M34" s="143">
        <f t="shared" si="0"/>
        <v>12347.199084923426</v>
      </c>
      <c r="N34" s="143">
        <f t="shared" si="0"/>
        <v>1318638.7483002595</v>
      </c>
      <c r="O34" s="143">
        <f t="shared" si="0"/>
        <v>658614.05959408265</v>
      </c>
      <c r="P34" s="143">
        <f t="shared" si="0"/>
        <v>2228372.9156918265</v>
      </c>
      <c r="Q34" s="143">
        <f t="shared" si="0"/>
        <v>100800.08293841338</v>
      </c>
      <c r="R34" s="143">
        <f t="shared" si="0"/>
        <v>7273.1738279259462</v>
      </c>
      <c r="S34" s="143">
        <f t="shared" si="0"/>
        <v>0</v>
      </c>
      <c r="T34" s="143">
        <f t="shared" si="0"/>
        <v>62641.673398829313</v>
      </c>
      <c r="U34" s="143">
        <f t="shared" si="0"/>
        <v>0</v>
      </c>
      <c r="V34" s="143">
        <f t="shared" si="0"/>
        <v>14960.225003718559</v>
      </c>
      <c r="W34" s="143">
        <f t="shared" si="0"/>
        <v>0</v>
      </c>
      <c r="X34" s="143">
        <f t="shared" si="0"/>
        <v>560129.43499738351</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150</v>
      </c>
      <c r="I38" t="s">
        <v>155</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168</v>
      </c>
      <c r="H42" s="19"/>
      <c r="I42" s="19"/>
      <c r="J42" s="144">
        <f t="shared" ref="J42:P44" si="1">SUMIF($J$38:$Y$38, J$38, $J31:$Y31) / SUMIF($J$38:$Y$38, J$38, $J$34:$Y$34)</f>
        <v>8.2283505228735995E-2</v>
      </c>
      <c r="K42" s="144">
        <f t="shared" si="1"/>
        <v>8.2283505228735995E-2</v>
      </c>
      <c r="L42" s="144">
        <f t="shared" si="1"/>
        <v>6.2954039762762218E-2</v>
      </c>
      <c r="M42" s="144">
        <f t="shared" si="1"/>
        <v>6.2954039762762218E-2</v>
      </c>
      <c r="N42" s="144">
        <f t="shared" si="1"/>
        <v>6.8449297411430216E-2</v>
      </c>
      <c r="O42" s="144">
        <f t="shared" si="1"/>
        <v>6.4218378972644374E-2</v>
      </c>
      <c r="P42" s="144">
        <f t="shared" si="1"/>
        <v>6.3109848437127025E-2</v>
      </c>
      <c r="Q42" s="304"/>
      <c r="R42" s="304"/>
      <c r="S42" s="304"/>
      <c r="T42" s="304"/>
      <c r="U42" s="304"/>
      <c r="V42" s="304"/>
      <c r="W42" s="304"/>
      <c r="X42" s="304"/>
      <c r="Y42" s="304"/>
    </row>
    <row r="43" spans="3:27" x14ac:dyDescent="0.25">
      <c r="F43" s="23" t="s">
        <v>465</v>
      </c>
      <c r="G43" s="23" t="s">
        <v>168</v>
      </c>
      <c r="J43" s="135">
        <f t="shared" si="1"/>
        <v>0.431033528571452</v>
      </c>
      <c r="K43" s="135">
        <f t="shared" si="1"/>
        <v>0.431033528571452</v>
      </c>
      <c r="L43" s="135">
        <f t="shared" si="1"/>
        <v>0.50316384938996084</v>
      </c>
      <c r="M43" s="135">
        <f t="shared" si="1"/>
        <v>0.50316384938996084</v>
      </c>
      <c r="N43" s="135">
        <f t="shared" si="1"/>
        <v>0.49238008948161549</v>
      </c>
      <c r="O43" s="135">
        <f t="shared" si="1"/>
        <v>0.47055420232898865</v>
      </c>
      <c r="P43" s="135">
        <f t="shared" si="1"/>
        <v>0.43819246062189693</v>
      </c>
      <c r="Q43" s="60"/>
      <c r="R43" s="60"/>
      <c r="S43" s="60"/>
      <c r="T43" s="60"/>
      <c r="U43" s="60"/>
      <c r="V43" s="60"/>
      <c r="W43" s="60"/>
      <c r="X43" s="60"/>
      <c r="Y43" s="60"/>
    </row>
    <row r="44" spans="3:27" x14ac:dyDescent="0.25">
      <c r="F44" s="57" t="s">
        <v>258</v>
      </c>
      <c r="G44" s="57" t="s">
        <v>168</v>
      </c>
      <c r="H44" s="28"/>
      <c r="I44" s="28"/>
      <c r="J44" s="145">
        <f t="shared" si="1"/>
        <v>0.48668296619981199</v>
      </c>
      <c r="K44" s="145">
        <f t="shared" si="1"/>
        <v>0.48668296619981199</v>
      </c>
      <c r="L44" s="145">
        <f t="shared" si="1"/>
        <v>0.43388211084727696</v>
      </c>
      <c r="M44" s="145">
        <f t="shared" si="1"/>
        <v>0.43388211084727696</v>
      </c>
      <c r="N44" s="145">
        <f t="shared" si="1"/>
        <v>0.43917061310695432</v>
      </c>
      <c r="O44" s="145">
        <f t="shared" si="1"/>
        <v>0.46522741869836692</v>
      </c>
      <c r="P44" s="145">
        <f t="shared" si="1"/>
        <v>0.4986976909409761</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168</v>
      </c>
      <c r="H48" s="19"/>
      <c r="I48" s="19"/>
      <c r="J48" s="144">
        <f>IF(ISNUMBER(J$38), J42, IF(J$34 = 0, 0, J31 / J$34))</f>
        <v>8.2283505228735995E-2</v>
      </c>
      <c r="K48" s="144">
        <f t="shared" ref="K48:Y48" si="2">IF(ISNUMBER(K$38), K42, IF(K$34 = 0, 0, K31 / K$34))</f>
        <v>8.2283505228735995E-2</v>
      </c>
      <c r="L48" s="144">
        <f t="shared" si="2"/>
        <v>6.2954039762762218E-2</v>
      </c>
      <c r="M48" s="144">
        <f t="shared" si="2"/>
        <v>6.2954039762762218E-2</v>
      </c>
      <c r="N48" s="144">
        <f t="shared" si="2"/>
        <v>6.8449297411430216E-2</v>
      </c>
      <c r="O48" s="144">
        <f t="shared" si="2"/>
        <v>6.4218378972644374E-2</v>
      </c>
      <c r="P48" s="144">
        <f t="shared" si="2"/>
        <v>6.3109848437127025E-2</v>
      </c>
      <c r="Q48" s="144">
        <f t="shared" si="2"/>
        <v>3.0028078173142229E-2</v>
      </c>
      <c r="R48" s="144">
        <f t="shared" si="2"/>
        <v>6.2945420666213628E-2</v>
      </c>
      <c r="S48" s="144">
        <f t="shared" si="2"/>
        <v>0</v>
      </c>
      <c r="T48" s="144">
        <f t="shared" si="2"/>
        <v>5.2700217370648381E-2</v>
      </c>
      <c r="U48" s="144">
        <f t="shared" si="2"/>
        <v>0</v>
      </c>
      <c r="V48" s="144">
        <f t="shared" si="2"/>
        <v>5.4264251670546181E-2</v>
      </c>
      <c r="W48" s="144">
        <f t="shared" si="2"/>
        <v>0</v>
      </c>
      <c r="X48" s="144">
        <f t="shared" si="2"/>
        <v>6.4749900832984722E-2</v>
      </c>
      <c r="Y48" s="144">
        <f t="shared" si="2"/>
        <v>0</v>
      </c>
    </row>
    <row r="49" spans="2:27" x14ac:dyDescent="0.25">
      <c r="F49" s="23" t="s">
        <v>465</v>
      </c>
      <c r="G49" s="23" t="s">
        <v>168</v>
      </c>
      <c r="J49" s="135">
        <f t="shared" ref="J49:Y49" si="3">IF(ISNUMBER(J$38), J43, IF(J$34 = 0, 0, J32 / J$34))</f>
        <v>0.431033528571452</v>
      </c>
      <c r="K49" s="135">
        <f t="shared" si="3"/>
        <v>0.431033528571452</v>
      </c>
      <c r="L49" s="135">
        <f t="shared" si="3"/>
        <v>0.50316384938996084</v>
      </c>
      <c r="M49" s="135">
        <f t="shared" si="3"/>
        <v>0.50316384938996084</v>
      </c>
      <c r="N49" s="135">
        <f t="shared" si="3"/>
        <v>0.49238008948161549</v>
      </c>
      <c r="O49" s="135">
        <f t="shared" si="3"/>
        <v>0.47055420232898865</v>
      </c>
      <c r="P49" s="135">
        <f t="shared" si="3"/>
        <v>0.43819246062189693</v>
      </c>
      <c r="Q49" s="135">
        <f t="shared" si="3"/>
        <v>0.27904414464477645</v>
      </c>
      <c r="R49" s="135">
        <f t="shared" si="3"/>
        <v>0.62709489556493114</v>
      </c>
      <c r="S49" s="135">
        <f t="shared" si="3"/>
        <v>0</v>
      </c>
      <c r="T49" s="135">
        <f t="shared" si="3"/>
        <v>0.50784690974097524</v>
      </c>
      <c r="U49" s="135">
        <f t="shared" si="3"/>
        <v>0</v>
      </c>
      <c r="V49" s="135">
        <f t="shared" si="3"/>
        <v>0.48030487628704072</v>
      </c>
      <c r="W49" s="135">
        <f t="shared" si="3"/>
        <v>0</v>
      </c>
      <c r="X49" s="135">
        <f t="shared" si="3"/>
        <v>0.51608345658047539</v>
      </c>
      <c r="Y49" s="135">
        <f t="shared" si="3"/>
        <v>0</v>
      </c>
    </row>
    <row r="50" spans="2:27" x14ac:dyDescent="0.25">
      <c r="F50" s="57" t="s">
        <v>258</v>
      </c>
      <c r="G50" s="57" t="s">
        <v>168</v>
      </c>
      <c r="H50" s="28"/>
      <c r="I50" s="28"/>
      <c r="J50" s="145">
        <f t="shared" ref="J50:Y50" si="4">IF(ISNUMBER(J$38), J44, IF(J$34 = 0, 0, J33 / J$34))</f>
        <v>0.48668296619981199</v>
      </c>
      <c r="K50" s="145">
        <f t="shared" si="4"/>
        <v>0.48668296619981199</v>
      </c>
      <c r="L50" s="145">
        <f t="shared" si="4"/>
        <v>0.43388211084727696</v>
      </c>
      <c r="M50" s="145">
        <f t="shared" si="4"/>
        <v>0.43388211084727696</v>
      </c>
      <c r="N50" s="145">
        <f t="shared" si="4"/>
        <v>0.43917061310695432</v>
      </c>
      <c r="O50" s="145">
        <f t="shared" si="4"/>
        <v>0.46522741869836692</v>
      </c>
      <c r="P50" s="145">
        <f t="shared" si="4"/>
        <v>0.4986976909409761</v>
      </c>
      <c r="Q50" s="145">
        <f t="shared" si="4"/>
        <v>0.69092777718208132</v>
      </c>
      <c r="R50" s="145">
        <f t="shared" si="4"/>
        <v>0.30995968376885513</v>
      </c>
      <c r="S50" s="145">
        <f t="shared" si="4"/>
        <v>0</v>
      </c>
      <c r="T50" s="145">
        <f t="shared" si="4"/>
        <v>0.43945287288837637</v>
      </c>
      <c r="U50" s="145">
        <f t="shared" si="4"/>
        <v>0</v>
      </c>
      <c r="V50" s="145">
        <f t="shared" si="4"/>
        <v>0.46543087204241307</v>
      </c>
      <c r="W50" s="145">
        <f t="shared" si="4"/>
        <v>0</v>
      </c>
      <c r="X50" s="145">
        <f t="shared" si="4"/>
        <v>0.41916664258653991</v>
      </c>
      <c r="Y50" s="145">
        <f t="shared" si="4"/>
        <v>0</v>
      </c>
    </row>
    <row r="52" spans="2:27" x14ac:dyDescent="0.25">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284</v>
      </c>
      <c r="H54" s="79"/>
      <c r="I54" s="79"/>
      <c r="J54" s="79">
        <f t="shared" ref="J54:Y54" si="5">J48 * hours_in_year / J24</f>
        <v>1.380849627976489</v>
      </c>
      <c r="K54" s="79">
        <f t="shared" si="5"/>
        <v>1.380849627976489</v>
      </c>
      <c r="L54" s="79">
        <f t="shared" si="5"/>
        <v>1.0564700925704924</v>
      </c>
      <c r="M54" s="79">
        <f t="shared" si="5"/>
        <v>1.0564700925704924</v>
      </c>
      <c r="N54" s="79">
        <f t="shared" si="5"/>
        <v>1.1486893588584841</v>
      </c>
      <c r="O54" s="79">
        <f t="shared" si="5"/>
        <v>1.0776877390811586</v>
      </c>
      <c r="P54" s="79">
        <f t="shared" si="5"/>
        <v>1.0590848128529362</v>
      </c>
      <c r="Q54" s="79">
        <f t="shared" si="5"/>
        <v>1.7305655578731969</v>
      </c>
      <c r="R54" s="79">
        <f t="shared" si="5"/>
        <v>1.0563254502605963</v>
      </c>
      <c r="S54" s="79">
        <f t="shared" si="5"/>
        <v>0</v>
      </c>
      <c r="T54" s="79">
        <f t="shared" si="5"/>
        <v>0.8843944524269729</v>
      </c>
      <c r="U54" s="79">
        <f t="shared" si="5"/>
        <v>0</v>
      </c>
      <c r="V54" s="79">
        <f t="shared" si="5"/>
        <v>0.91064146481606234</v>
      </c>
      <c r="W54" s="79">
        <f t="shared" si="5"/>
        <v>0</v>
      </c>
      <c r="X54" s="79">
        <f t="shared" si="5"/>
        <v>1.0866075312202033</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242</v>
      </c>
      <c r="G62" s="23" t="s">
        <v>168</v>
      </c>
      <c r="J62" s="21">
        <f>'Inputs by customer type'!J15</f>
        <v>0.43610295406228738</v>
      </c>
      <c r="K62" s="21">
        <f>'Inputs by customer type'!K15</f>
        <v>0.14875287053560327</v>
      </c>
      <c r="L62" s="21">
        <f>'Inputs by customer type'!L15</f>
        <v>0.43548753733382101</v>
      </c>
      <c r="M62" s="21">
        <f>'Inputs by customer type'!M15</f>
        <v>0.16295077918509474</v>
      </c>
      <c r="N62" s="21">
        <f>'Inputs by customer type'!N15</f>
        <v>0.54786519671524625</v>
      </c>
      <c r="O62" s="21">
        <f>'Inputs by customer type'!O15</f>
        <v>0.6013076823910245</v>
      </c>
      <c r="P62" s="21">
        <f>'Inputs by customer type'!P15</f>
        <v>0.74020653461297725</v>
      </c>
      <c r="Q62" s="21">
        <f>'Inputs by customer type'!Q15</f>
        <v>0.49990018204724129</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244</v>
      </c>
      <c r="G63" s="23" t="s">
        <v>168</v>
      </c>
      <c r="J63" s="21">
        <f>'Inputs by customer type'!J16</f>
        <v>0.88309335316900095</v>
      </c>
      <c r="K63" s="21">
        <f>'Inputs by customer type'!K16</f>
        <v>0</v>
      </c>
      <c r="L63" s="21">
        <f>'Inputs by customer type'!L16</f>
        <v>0.72408771656897331</v>
      </c>
      <c r="M63" s="21">
        <f>'Inputs by customer type'!M16</f>
        <v>0</v>
      </c>
      <c r="N63" s="21">
        <f>'Inputs by customer type'!N16</f>
        <v>0.77431107642874375</v>
      </c>
      <c r="O63" s="21">
        <f>'Inputs by customer type'!O16</f>
        <v>0.77304522793215591</v>
      </c>
      <c r="P63" s="21">
        <f>'Inputs by customer type'!P16</f>
        <v>0.83436828413110098</v>
      </c>
      <c r="Q63" s="21">
        <f>'Inputs by customer type'!Q16</f>
        <v>0.93602858993799354</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173</v>
      </c>
      <c r="J69" s="79">
        <f t="shared" ref="J69:P69" si="6">J34 / hours_in_year</f>
        <v>590.70297500549043</v>
      </c>
      <c r="K69" s="79">
        <f t="shared" si="6"/>
        <v>3.3363421425932906</v>
      </c>
      <c r="L69" s="79">
        <f t="shared" si="6"/>
        <v>207.6609436152537</v>
      </c>
      <c r="M69" s="79">
        <f t="shared" si="6"/>
        <v>1.4094976124341811</v>
      </c>
      <c r="N69" s="79">
        <f t="shared" si="6"/>
        <v>150.52953747719857</v>
      </c>
      <c r="O69" s="79">
        <f t="shared" si="6"/>
        <v>75.184253378319937</v>
      </c>
      <c r="P69" s="79">
        <f t="shared" si="6"/>
        <v>254.38046982783408</v>
      </c>
      <c r="Q69" s="303"/>
      <c r="R69" s="303"/>
      <c r="S69" s="303"/>
      <c r="T69" s="303"/>
      <c r="U69" s="303"/>
      <c r="V69" s="303"/>
      <c r="W69" s="303"/>
      <c r="X69" s="303"/>
      <c r="Y69" s="303"/>
    </row>
    <row r="70" spans="3:27" x14ac:dyDescent="0.25">
      <c r="D70" s="27"/>
      <c r="E70" s="23"/>
      <c r="F70" s="23"/>
      <c r="G70" s="23"/>
    </row>
    <row r="71" spans="3:27" x14ac:dyDescent="0.25">
      <c r="D71" s="27"/>
      <c r="E71" s="23" t="s">
        <v>470</v>
      </c>
      <c r="F71" s="23"/>
      <c r="G71" s="23" t="s">
        <v>173</v>
      </c>
      <c r="J71" s="79">
        <f t="shared" ref="J71:P71" si="7">IF(J62 = 0, 0, J34 / (J62 * hours_in_year))</f>
        <v>1354.5034939642301</v>
      </c>
      <c r="K71" s="79">
        <f t="shared" si="7"/>
        <v>22.428758050721136</v>
      </c>
      <c r="L71" s="79">
        <f t="shared" si="7"/>
        <v>476.84704110389299</v>
      </c>
      <c r="M71" s="79">
        <f t="shared" si="7"/>
        <v>8.6498365916565625</v>
      </c>
      <c r="N71" s="79">
        <f t="shared" si="7"/>
        <v>274.75652474314137</v>
      </c>
      <c r="O71" s="79">
        <f t="shared" si="7"/>
        <v>125.03457976681619</v>
      </c>
      <c r="P71" s="79">
        <f t="shared" si="7"/>
        <v>343.66147545676409</v>
      </c>
      <c r="Q71" s="303"/>
      <c r="R71" s="303"/>
      <c r="S71" s="303"/>
      <c r="T71" s="303"/>
      <c r="U71" s="303"/>
      <c r="V71" s="303"/>
      <c r="W71" s="303"/>
      <c r="X71" s="303"/>
      <c r="Y71" s="303"/>
    </row>
    <row r="72" spans="3:27" x14ac:dyDescent="0.25">
      <c r="D72" s="27"/>
      <c r="E72" s="23"/>
      <c r="F72" s="23"/>
      <c r="G72" s="23"/>
    </row>
    <row r="73" spans="3:27" x14ac:dyDescent="0.25">
      <c r="D73" s="27"/>
      <c r="E73" s="23" t="s">
        <v>851</v>
      </c>
      <c r="F73" s="23"/>
      <c r="G73" s="23" t="s">
        <v>173</v>
      </c>
      <c r="J73" s="79">
        <f>J71 * J63</f>
        <v>1196.1530323639995</v>
      </c>
      <c r="K73" s="79">
        <f t="shared" ref="K73:M73" si="8">K71 * K63</f>
        <v>0</v>
      </c>
      <c r="L73" s="79">
        <f t="shared" si="8"/>
        <v>345.27908514558925</v>
      </c>
      <c r="M73" s="79">
        <f t="shared" si="8"/>
        <v>0</v>
      </c>
      <c r="N73" s="79">
        <f t="shared" ref="N73:P73" si="9">N71 * N63</f>
        <v>212.74702042968255</v>
      </c>
      <c r="O73" s="79">
        <f t="shared" si="9"/>
        <v>96.657385215239756</v>
      </c>
      <c r="P73" s="79">
        <f t="shared" si="9"/>
        <v>286.74023559882272</v>
      </c>
      <c r="Q73" s="303"/>
      <c r="R73" s="303"/>
      <c r="S73" s="303"/>
      <c r="T73" s="303"/>
      <c r="U73" s="303"/>
      <c r="V73" s="303"/>
      <c r="W73" s="303"/>
      <c r="X73" s="303"/>
      <c r="Y73" s="303"/>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242</v>
      </c>
      <c r="F77" s="23"/>
      <c r="G77" s="23" t="s">
        <v>168</v>
      </c>
      <c r="J77" s="135">
        <f t="shared" ref="J77:P77" si="10">SUMIF($J$38:$Y$38, J$38, $J$69:$Y$69) / SUMIF($J$38:$Y$38, J$38, $J$71:$Y$71)</f>
        <v>0.43142232762635108</v>
      </c>
      <c r="K77" s="135">
        <f t="shared" si="10"/>
        <v>0.43142232762635108</v>
      </c>
      <c r="L77" s="135">
        <f t="shared" si="10"/>
        <v>0.43063189658408879</v>
      </c>
      <c r="M77" s="135">
        <f t="shared" si="10"/>
        <v>0.43063189658408879</v>
      </c>
      <c r="N77" s="135">
        <f t="shared" si="10"/>
        <v>0.54786519671524625</v>
      </c>
      <c r="O77" s="135">
        <f t="shared" si="10"/>
        <v>0.60130768239102461</v>
      </c>
      <c r="P77" s="135">
        <f t="shared" si="10"/>
        <v>0.74020653461297725</v>
      </c>
      <c r="Q77" s="303"/>
      <c r="R77" s="303"/>
      <c r="S77" s="303"/>
      <c r="T77" s="303"/>
      <c r="U77" s="303"/>
      <c r="V77" s="303"/>
      <c r="W77" s="303"/>
      <c r="X77" s="303"/>
      <c r="Y77" s="303"/>
    </row>
    <row r="78" spans="3:27" x14ac:dyDescent="0.25">
      <c r="D78" s="27"/>
      <c r="E78" s="23"/>
      <c r="F78" s="23"/>
      <c r="G78" s="23"/>
    </row>
    <row r="79" spans="3:27" x14ac:dyDescent="0.25">
      <c r="D79" s="27"/>
      <c r="E79" s="23" t="s">
        <v>244</v>
      </c>
      <c r="F79" s="23"/>
      <c r="G79" s="23" t="s">
        <v>168</v>
      </c>
      <c r="J79" s="135">
        <f t="shared" ref="J79:P79" si="11">SUMIF($J$38:$Y$38, J$38, $J$73:$Y$73) / SUMIF($J$38:$Y$38, J$38, $J$71:$Y$71)</f>
        <v>0.86870870415998591</v>
      </c>
      <c r="K79" s="135">
        <f t="shared" si="11"/>
        <v>0.86870870415998591</v>
      </c>
      <c r="L79" s="135">
        <f t="shared" si="11"/>
        <v>0.71118703540274975</v>
      </c>
      <c r="M79" s="135">
        <f t="shared" si="11"/>
        <v>0.71118703540274975</v>
      </c>
      <c r="N79" s="135">
        <f t="shared" si="11"/>
        <v>0.77431107642874375</v>
      </c>
      <c r="O79" s="135">
        <f t="shared" si="11"/>
        <v>0.77304522793215591</v>
      </c>
      <c r="P79" s="135">
        <f t="shared" si="11"/>
        <v>0.83436828413110098</v>
      </c>
      <c r="Q79" s="303"/>
      <c r="R79" s="303"/>
      <c r="S79" s="303"/>
      <c r="T79" s="303"/>
      <c r="U79" s="303"/>
      <c r="V79" s="303"/>
      <c r="W79" s="303"/>
      <c r="X79" s="303"/>
      <c r="Y79" s="303"/>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242</v>
      </c>
      <c r="F83" s="23"/>
      <c r="G83" s="23" t="s">
        <v>168</v>
      </c>
      <c r="J83" s="135">
        <f>IF(J$38 = 0, J62, J77)</f>
        <v>0.43142232762635108</v>
      </c>
      <c r="K83" s="135">
        <f t="shared" ref="K83:Y83" si="12">IF(K$38 = 0, K62, K77)</f>
        <v>0.43142232762635108</v>
      </c>
      <c r="L83" s="135">
        <f t="shared" si="12"/>
        <v>0.43063189658408879</v>
      </c>
      <c r="M83" s="135">
        <f>IF(M$38 = 0, M62, M77)</f>
        <v>0.43063189658408879</v>
      </c>
      <c r="N83" s="135">
        <f t="shared" si="12"/>
        <v>0.54786519671524625</v>
      </c>
      <c r="O83" s="135">
        <f t="shared" si="12"/>
        <v>0.60130768239102461</v>
      </c>
      <c r="P83" s="135">
        <f t="shared" si="12"/>
        <v>0.74020653461297725</v>
      </c>
      <c r="Q83" s="135">
        <f t="shared" si="12"/>
        <v>0.49990018204724129</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244</v>
      </c>
      <c r="F85" s="23"/>
      <c r="G85" s="23" t="s">
        <v>168</v>
      </c>
      <c r="J85" s="135">
        <f>IF(J38 = 0, J63, J79)</f>
        <v>0.86870870415998591</v>
      </c>
      <c r="K85" s="135">
        <f t="shared" ref="K85:Y85" si="13">IF(K38 = 0, K63, K79)</f>
        <v>0.86870870415998591</v>
      </c>
      <c r="L85" s="135">
        <f t="shared" si="13"/>
        <v>0.71118703540274975</v>
      </c>
      <c r="M85" s="135">
        <f t="shared" si="13"/>
        <v>0.71118703540274975</v>
      </c>
      <c r="N85" s="135">
        <f t="shared" si="13"/>
        <v>0.77431107642874375</v>
      </c>
      <c r="O85" s="135">
        <f t="shared" si="13"/>
        <v>0.77304522793215591</v>
      </c>
      <c r="P85" s="135">
        <f t="shared" si="13"/>
        <v>0.83436828413110098</v>
      </c>
      <c r="Q85" s="135">
        <f t="shared" si="13"/>
        <v>0.93602858993799354</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284</v>
      </c>
      <c r="J89" s="79">
        <f t="shared" ref="J89:Y89" si="14">IF(AND(J62 = 0, J63 = 0), 1, J63 / J62)</f>
        <v>2.0249653090927495</v>
      </c>
      <c r="K89" s="79">
        <f t="shared" si="14"/>
        <v>0</v>
      </c>
      <c r="L89" s="79">
        <f t="shared" si="14"/>
        <v>1.6627059433251408</v>
      </c>
      <c r="M89" s="79">
        <f t="shared" si="14"/>
        <v>0</v>
      </c>
      <c r="N89" s="79">
        <f t="shared" si="14"/>
        <v>1.4133240824041486</v>
      </c>
      <c r="O89" s="79">
        <f t="shared" si="14"/>
        <v>1.2856067709932437</v>
      </c>
      <c r="P89" s="79">
        <f t="shared" si="14"/>
        <v>1.1272101030117991</v>
      </c>
      <c r="Q89" s="79">
        <f t="shared" si="14"/>
        <v>1.8724309843310629</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284</v>
      </c>
      <c r="I91" t="s">
        <v>155</v>
      </c>
      <c r="J91" s="79">
        <f>IF(AND(J83 = 0, J85 = 0), 1, J85 / J83)</f>
        <v>2.0135923630553552</v>
      </c>
      <c r="K91" s="79">
        <f t="shared" ref="K91:Y91" si="15">IF(AND(K83 = 0, K85 = 0), 1, K85 / K83)</f>
        <v>2.0135923630553552</v>
      </c>
      <c r="L91" s="79">
        <f t="shared" si="15"/>
        <v>1.6514964196663435</v>
      </c>
      <c r="M91" s="79">
        <f t="shared" si="15"/>
        <v>1.6514964196663435</v>
      </c>
      <c r="N91" s="79">
        <f>IF(AND(N83 = 0, N85 = 0), 1, N85 / N83)</f>
        <v>1.4133240824041486</v>
      </c>
      <c r="O91" s="79">
        <f t="shared" si="15"/>
        <v>1.2856067709932435</v>
      </c>
      <c r="P91" s="79">
        <f t="shared" si="15"/>
        <v>1.1272101030117991</v>
      </c>
      <c r="Q91" s="79">
        <f t="shared" si="15"/>
        <v>1.8724309843310629</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284</v>
      </c>
      <c r="I93" t="s">
        <v>155</v>
      </c>
      <c r="J93" s="79">
        <f>IF(OR(J54 = 0, J85 = 0), 1, J91 / J54)</f>
        <v>1.4582271105117317</v>
      </c>
      <c r="K93" s="79">
        <f t="shared" ref="K93:Y93" si="16">IF(OR(K54 = 0, K85 = 0), 1, K91 / K54)</f>
        <v>1.4582271105117317</v>
      </c>
      <c r="L93" s="79">
        <f t="shared" si="16"/>
        <v>1.5632211751949319</v>
      </c>
      <c r="M93" s="79">
        <f t="shared" si="16"/>
        <v>1.5632211751949319</v>
      </c>
      <c r="N93" s="79">
        <f>IF(OR(N54 = 0, N85 = 0), 1, N91 / N54)</f>
        <v>1.2303797118906425</v>
      </c>
      <c r="O93" s="79">
        <f t="shared" si="16"/>
        <v>1.1929306833251696</v>
      </c>
      <c r="P93" s="79">
        <f t="shared" si="16"/>
        <v>1.064324678564079</v>
      </c>
      <c r="Q93" s="79">
        <f t="shared" si="16"/>
        <v>1.0819763376269973</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155</v>
      </c>
      <c r="AA97" t="s">
        <v>475</v>
      </c>
    </row>
    <row r="98" spans="3:27" x14ac:dyDescent="0.25">
      <c r="C98" s="24" t="s">
        <v>477</v>
      </c>
    </row>
    <row r="100" spans="3:27" x14ac:dyDescent="0.25">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295</v>
      </c>
      <c r="G103" s="54" t="s">
        <v>168</v>
      </c>
      <c r="H103" s="97">
        <f>'Inputs by network level'!K40</f>
        <v>0.94699051516559385</v>
      </c>
    </row>
    <row r="104" spans="3:27" x14ac:dyDescent="0.25">
      <c r="F104" s="62" t="s">
        <v>296</v>
      </c>
      <c r="G104" s="23" t="s">
        <v>168</v>
      </c>
      <c r="H104" s="21">
        <f>'Inputs by network level'!K41</f>
        <v>5.3009484834406179E-2</v>
      </c>
    </row>
    <row r="105" spans="3:27" x14ac:dyDescent="0.25">
      <c r="F105" s="70" t="s">
        <v>258</v>
      </c>
      <c r="G105" s="57" t="s">
        <v>168</v>
      </c>
      <c r="H105" s="131">
        <f>'Inputs by network level'!K42</f>
        <v>0</v>
      </c>
    </row>
    <row r="106" spans="3:27" x14ac:dyDescent="0.25">
      <c r="F106" s="68" t="s">
        <v>297</v>
      </c>
      <c r="G106" s="54" t="s">
        <v>168</v>
      </c>
      <c r="H106" s="97">
        <f>'Inputs by network level'!K43</f>
        <v>0.90491122713821814</v>
      </c>
    </row>
    <row r="107" spans="3:27" x14ac:dyDescent="0.25">
      <c r="F107" s="62" t="s">
        <v>306</v>
      </c>
      <c r="G107" s="23" t="s">
        <v>168</v>
      </c>
      <c r="H107" s="146">
        <f>SUM(H103:H104) - H106</f>
        <v>9.5088772861781856E-2</v>
      </c>
    </row>
    <row r="108" spans="3:27" x14ac:dyDescent="0.25">
      <c r="F108" s="70" t="s">
        <v>258</v>
      </c>
      <c r="G108" s="57" t="s">
        <v>168</v>
      </c>
      <c r="H108" s="147">
        <f>H105</f>
        <v>0</v>
      </c>
    </row>
    <row r="109" spans="3:27" x14ac:dyDescent="0.25">
      <c r="F109" s="24"/>
      <c r="G109" s="23"/>
    </row>
    <row r="110" spans="3:27" x14ac:dyDescent="0.25">
      <c r="E110" s="27" t="s">
        <v>479</v>
      </c>
      <c r="G110" s="23"/>
    </row>
    <row r="111" spans="3:27" x14ac:dyDescent="0.25">
      <c r="F111" s="68" t="s">
        <v>464</v>
      </c>
      <c r="G111" s="54" t="s">
        <v>168</v>
      </c>
      <c r="H111" s="97">
        <f>'Inputs by network level'!L40</f>
        <v>0.86977641867942357</v>
      </c>
    </row>
    <row r="112" spans="3:27" x14ac:dyDescent="0.25">
      <c r="F112" s="62" t="s">
        <v>465</v>
      </c>
      <c r="G112" s="23" t="s">
        <v>168</v>
      </c>
      <c r="H112" s="21">
        <f>'Inputs by network level'!L41</f>
        <v>0.12678623588467511</v>
      </c>
    </row>
    <row r="113" spans="5:8" x14ac:dyDescent="0.25">
      <c r="F113" s="70" t="s">
        <v>258</v>
      </c>
      <c r="G113" s="57" t="s">
        <v>168</v>
      </c>
      <c r="H113" s="131">
        <f>'Inputs by network level'!L42</f>
        <v>3.4373454359011885E-3</v>
      </c>
    </row>
    <row r="114" spans="5:8" x14ac:dyDescent="0.25">
      <c r="F114" s="68" t="s">
        <v>297</v>
      </c>
      <c r="G114" s="54" t="s">
        <v>168</v>
      </c>
      <c r="H114" s="97">
        <f>'Inputs by network level'!L43</f>
        <v>0.77456476944769914</v>
      </c>
    </row>
    <row r="115" spans="5:8" x14ac:dyDescent="0.25">
      <c r="F115" s="62" t="s">
        <v>306</v>
      </c>
      <c r="G115" s="23" t="s">
        <v>168</v>
      </c>
      <c r="H115" s="146">
        <f>SUM(H111:H112) - H114</f>
        <v>0.22199788511639951</v>
      </c>
    </row>
    <row r="116" spans="5:8" x14ac:dyDescent="0.25">
      <c r="F116" s="70" t="s">
        <v>258</v>
      </c>
      <c r="G116" s="57" t="s">
        <v>168</v>
      </c>
      <c r="H116" s="147">
        <f>H113</f>
        <v>3.4373454359011885E-3</v>
      </c>
    </row>
    <row r="117" spans="5:8" x14ac:dyDescent="0.25">
      <c r="F117" s="24"/>
      <c r="G117" s="23"/>
    </row>
    <row r="118" spans="5:8" x14ac:dyDescent="0.25">
      <c r="E118" s="27" t="s">
        <v>480</v>
      </c>
      <c r="G118" s="23"/>
    </row>
    <row r="119" spans="5:8" x14ac:dyDescent="0.25">
      <c r="F119" s="68" t="s">
        <v>464</v>
      </c>
      <c r="G119" s="54" t="s">
        <v>168</v>
      </c>
      <c r="H119" s="97">
        <f>'Inputs by network level'!M40</f>
        <v>0.86977641867942357</v>
      </c>
    </row>
    <row r="120" spans="5:8" x14ac:dyDescent="0.25">
      <c r="F120" s="62" t="s">
        <v>465</v>
      </c>
      <c r="G120" s="23" t="s">
        <v>168</v>
      </c>
      <c r="H120" s="21">
        <f>'Inputs by network level'!M41</f>
        <v>0.12678623588467511</v>
      </c>
    </row>
    <row r="121" spans="5:8" x14ac:dyDescent="0.25">
      <c r="F121" s="70" t="s">
        <v>258</v>
      </c>
      <c r="G121" s="57" t="s">
        <v>168</v>
      </c>
      <c r="H121" s="131">
        <f>'Inputs by network level'!M42</f>
        <v>3.4373454359011885E-3</v>
      </c>
    </row>
    <row r="122" spans="5:8" x14ac:dyDescent="0.25">
      <c r="F122" s="68" t="s">
        <v>297</v>
      </c>
      <c r="G122" s="54" t="s">
        <v>168</v>
      </c>
      <c r="H122" s="97">
        <f>'Inputs by network level'!M43</f>
        <v>0.77456476944769914</v>
      </c>
    </row>
    <row r="123" spans="5:8" x14ac:dyDescent="0.25">
      <c r="F123" s="62" t="s">
        <v>306</v>
      </c>
      <c r="G123" s="23" t="s">
        <v>168</v>
      </c>
      <c r="H123" s="146">
        <f>SUM(H119:H120) - H122</f>
        <v>0.22199788511639951</v>
      </c>
    </row>
    <row r="124" spans="5:8" x14ac:dyDescent="0.25">
      <c r="F124" s="70" t="s">
        <v>258</v>
      </c>
      <c r="G124" s="57" t="s">
        <v>168</v>
      </c>
      <c r="H124" s="147">
        <f>H121</f>
        <v>3.4373454359011885E-3</v>
      </c>
    </row>
    <row r="125" spans="5:8" x14ac:dyDescent="0.25">
      <c r="F125" s="24"/>
      <c r="G125" s="23"/>
    </row>
    <row r="126" spans="5:8" x14ac:dyDescent="0.25">
      <c r="E126" s="27" t="s">
        <v>481</v>
      </c>
      <c r="G126" s="23"/>
    </row>
    <row r="127" spans="5:8" x14ac:dyDescent="0.25">
      <c r="F127" s="68" t="s">
        <v>464</v>
      </c>
      <c r="G127" s="54" t="s">
        <v>168</v>
      </c>
      <c r="H127" s="97">
        <f>'Inputs by network level'!N40</f>
        <v>0.63717891198827292</v>
      </c>
    </row>
    <row r="128" spans="5:8" x14ac:dyDescent="0.25">
      <c r="F128" s="62" t="s">
        <v>465</v>
      </c>
      <c r="G128" s="23" t="s">
        <v>168</v>
      </c>
      <c r="H128" s="21">
        <f>'Inputs by network level'!N41</f>
        <v>0.3251212237578559</v>
      </c>
    </row>
    <row r="129" spans="5:8" x14ac:dyDescent="0.25">
      <c r="F129" s="70" t="s">
        <v>258</v>
      </c>
      <c r="G129" s="57" t="s">
        <v>168</v>
      </c>
      <c r="H129" s="131">
        <f>'Inputs by network level'!N42</f>
        <v>3.7699864253871146E-2</v>
      </c>
    </row>
    <row r="130" spans="5:8" x14ac:dyDescent="0.25">
      <c r="F130" s="68" t="s">
        <v>297</v>
      </c>
      <c r="G130" s="54" t="s">
        <v>168</v>
      </c>
      <c r="H130" s="97">
        <f>'Inputs by network level'!N43</f>
        <v>0.53140136067327981</v>
      </c>
    </row>
    <row r="131" spans="5:8" x14ac:dyDescent="0.25">
      <c r="F131" s="62" t="s">
        <v>306</v>
      </c>
      <c r="G131" s="23" t="s">
        <v>168</v>
      </c>
      <c r="H131" s="146">
        <f>SUM(H127:H128) - H130</f>
        <v>0.43089877507284902</v>
      </c>
    </row>
    <row r="132" spans="5:8" x14ac:dyDescent="0.25">
      <c r="F132" s="70" t="s">
        <v>258</v>
      </c>
      <c r="G132" s="57" t="s">
        <v>168</v>
      </c>
      <c r="H132" s="147">
        <f>H129</f>
        <v>3.7699864253871146E-2</v>
      </c>
    </row>
    <row r="133" spans="5:8" x14ac:dyDescent="0.25">
      <c r="F133" s="24"/>
      <c r="G133" s="23"/>
    </row>
    <row r="134" spans="5:8" x14ac:dyDescent="0.25">
      <c r="E134" s="27" t="s">
        <v>482</v>
      </c>
      <c r="G134" s="23"/>
    </row>
    <row r="135" spans="5:8" x14ac:dyDescent="0.25">
      <c r="F135" s="68" t="s">
        <v>464</v>
      </c>
      <c r="G135" s="54" t="s">
        <v>168</v>
      </c>
      <c r="H135" s="97">
        <f>'Inputs by network level'!O40</f>
        <v>0.63717891198827292</v>
      </c>
    </row>
    <row r="136" spans="5:8" x14ac:dyDescent="0.25">
      <c r="F136" s="62" t="s">
        <v>465</v>
      </c>
      <c r="G136" s="23" t="s">
        <v>168</v>
      </c>
      <c r="H136" s="21">
        <f>'Inputs by network level'!O41</f>
        <v>0.3251212237578559</v>
      </c>
    </row>
    <row r="137" spans="5:8" x14ac:dyDescent="0.25">
      <c r="F137" s="70" t="s">
        <v>258</v>
      </c>
      <c r="G137" s="57" t="s">
        <v>168</v>
      </c>
      <c r="H137" s="131">
        <f>'Inputs by network level'!O42</f>
        <v>3.7699864253871146E-2</v>
      </c>
    </row>
    <row r="138" spans="5:8" x14ac:dyDescent="0.25">
      <c r="F138" s="68" t="s">
        <v>297</v>
      </c>
      <c r="G138" s="54" t="s">
        <v>168</v>
      </c>
      <c r="H138" s="97">
        <f>'Inputs by network level'!O43</f>
        <v>0.53140136067327981</v>
      </c>
    </row>
    <row r="139" spans="5:8" x14ac:dyDescent="0.25">
      <c r="F139" s="62" t="s">
        <v>306</v>
      </c>
      <c r="G139" s="23" t="s">
        <v>168</v>
      </c>
      <c r="H139" s="146">
        <f>SUM(H135:H136) - H138</f>
        <v>0.43089877507284902</v>
      </c>
    </row>
    <row r="140" spans="5:8" x14ac:dyDescent="0.25">
      <c r="F140" s="70" t="s">
        <v>258</v>
      </c>
      <c r="G140" s="57" t="s">
        <v>168</v>
      </c>
      <c r="H140" s="147">
        <f>H137</f>
        <v>3.7699864253871146E-2</v>
      </c>
    </row>
    <row r="141" spans="5:8" x14ac:dyDescent="0.25">
      <c r="F141" s="24"/>
      <c r="G141" s="23"/>
    </row>
    <row r="142" spans="5:8" x14ac:dyDescent="0.25">
      <c r="E142" s="27" t="s">
        <v>483</v>
      </c>
      <c r="G142" s="23"/>
    </row>
    <row r="143" spans="5:8" x14ac:dyDescent="0.25">
      <c r="F143" s="68" t="s">
        <v>464</v>
      </c>
      <c r="G143" s="54" t="s">
        <v>168</v>
      </c>
      <c r="H143" s="97">
        <f>'Inputs by network level'!P40</f>
        <v>0.86977641867942357</v>
      </c>
    </row>
    <row r="144" spans="5:8" x14ac:dyDescent="0.25">
      <c r="F144" s="62" t="s">
        <v>465</v>
      </c>
      <c r="G144" s="23" t="s">
        <v>168</v>
      </c>
      <c r="H144" s="21">
        <f>'Inputs by network level'!P41</f>
        <v>0.12678623588467511</v>
      </c>
    </row>
    <row r="145" spans="5:8" x14ac:dyDescent="0.25">
      <c r="F145" s="70" t="s">
        <v>258</v>
      </c>
      <c r="G145" s="57" t="s">
        <v>168</v>
      </c>
      <c r="H145" s="131">
        <f>'Inputs by network level'!P42</f>
        <v>3.4373454359011885E-3</v>
      </c>
    </row>
    <row r="146" spans="5:8" x14ac:dyDescent="0.25">
      <c r="F146" s="68" t="s">
        <v>297</v>
      </c>
      <c r="G146" s="54" t="s">
        <v>168</v>
      </c>
      <c r="H146" s="97">
        <f>'Inputs by network level'!P43</f>
        <v>0.77456476944769914</v>
      </c>
    </row>
    <row r="147" spans="5:8" x14ac:dyDescent="0.25">
      <c r="F147" s="62" t="s">
        <v>306</v>
      </c>
      <c r="G147" s="23" t="s">
        <v>168</v>
      </c>
      <c r="H147" s="146">
        <f>SUM(H143:H144) - H146</f>
        <v>0.22199788511639951</v>
      </c>
    </row>
    <row r="148" spans="5:8" x14ac:dyDescent="0.25">
      <c r="F148" s="70" t="s">
        <v>258</v>
      </c>
      <c r="G148" s="57" t="s">
        <v>168</v>
      </c>
      <c r="H148" s="147">
        <f>H145</f>
        <v>3.4373454359011885E-3</v>
      </c>
    </row>
    <row r="149" spans="5:8" x14ac:dyDescent="0.25">
      <c r="F149" s="24"/>
      <c r="G149" s="23"/>
    </row>
    <row r="150" spans="5:8" x14ac:dyDescent="0.25">
      <c r="E150" s="27" t="s">
        <v>484</v>
      </c>
      <c r="G150" s="23"/>
    </row>
    <row r="151" spans="5:8" x14ac:dyDescent="0.25">
      <c r="F151" s="68" t="s">
        <v>464</v>
      </c>
      <c r="G151" s="54" t="s">
        <v>168</v>
      </c>
      <c r="H151" s="97">
        <f>'Inputs by network level'!Q40</f>
        <v>0.63717891198827292</v>
      </c>
    </row>
    <row r="152" spans="5:8" x14ac:dyDescent="0.25">
      <c r="F152" s="62" t="s">
        <v>465</v>
      </c>
      <c r="G152" s="23" t="s">
        <v>168</v>
      </c>
      <c r="H152" s="21">
        <f>'Inputs by network level'!Q41</f>
        <v>0.3251212237578559</v>
      </c>
    </row>
    <row r="153" spans="5:8" x14ac:dyDescent="0.25">
      <c r="F153" s="70" t="s">
        <v>258</v>
      </c>
      <c r="G153" s="57" t="s">
        <v>168</v>
      </c>
      <c r="H153" s="131">
        <f>'Inputs by network level'!Q42</f>
        <v>3.7699864253871146E-2</v>
      </c>
    </row>
    <row r="154" spans="5:8" x14ac:dyDescent="0.25">
      <c r="F154" s="68" t="s">
        <v>297</v>
      </c>
      <c r="G154" s="54" t="s">
        <v>168</v>
      </c>
      <c r="H154" s="97">
        <f>'Inputs by network level'!Q43</f>
        <v>0.53140136067327981</v>
      </c>
    </row>
    <row r="155" spans="5:8" x14ac:dyDescent="0.25">
      <c r="F155" s="62" t="s">
        <v>306</v>
      </c>
      <c r="G155" s="23" t="s">
        <v>168</v>
      </c>
      <c r="H155" s="146">
        <f>SUM(H151:H152) - H154</f>
        <v>0.43089877507284902</v>
      </c>
    </row>
    <row r="156" spans="5:8" x14ac:dyDescent="0.25">
      <c r="F156" s="70" t="s">
        <v>258</v>
      </c>
      <c r="G156" s="57" t="s">
        <v>168</v>
      </c>
      <c r="H156" s="147">
        <f>H153</f>
        <v>3.7699864253871146E-2</v>
      </c>
    </row>
    <row r="157" spans="5:8" x14ac:dyDescent="0.25">
      <c r="F157" s="24"/>
      <c r="G157" s="23"/>
    </row>
    <row r="158" spans="5:8" x14ac:dyDescent="0.25">
      <c r="E158" s="27" t="s">
        <v>485</v>
      </c>
      <c r="G158" s="23"/>
    </row>
    <row r="159" spans="5:8" x14ac:dyDescent="0.25">
      <c r="F159" s="68" t="s">
        <v>464</v>
      </c>
      <c r="G159" s="54" t="s">
        <v>168</v>
      </c>
      <c r="H159" s="97">
        <f>'Inputs by network level'!R40</f>
        <v>0.63717891198827292</v>
      </c>
    </row>
    <row r="160" spans="5:8" x14ac:dyDescent="0.25">
      <c r="F160" s="62" t="s">
        <v>465</v>
      </c>
      <c r="G160" s="23" t="s">
        <v>168</v>
      </c>
      <c r="H160" s="21">
        <f>'Inputs by network level'!R41</f>
        <v>0.3251212237578559</v>
      </c>
    </row>
    <row r="161" spans="3:27" x14ac:dyDescent="0.25">
      <c r="F161" s="70" t="s">
        <v>258</v>
      </c>
      <c r="G161" s="57" t="s">
        <v>168</v>
      </c>
      <c r="H161" s="131">
        <f>'Inputs by network level'!R42</f>
        <v>3.7699864253871146E-2</v>
      </c>
    </row>
    <row r="162" spans="3:27" x14ac:dyDescent="0.25">
      <c r="F162" s="68" t="s">
        <v>297</v>
      </c>
      <c r="G162" s="54" t="s">
        <v>168</v>
      </c>
      <c r="H162" s="97">
        <f>'Inputs by network level'!R43</f>
        <v>0.53140136067327981</v>
      </c>
    </row>
    <row r="163" spans="3:27" x14ac:dyDescent="0.25">
      <c r="F163" s="62" t="s">
        <v>306</v>
      </c>
      <c r="G163" s="23" t="s">
        <v>168</v>
      </c>
      <c r="H163" s="146">
        <f>SUM(H159:H160) - H162</f>
        <v>0.43089877507284902</v>
      </c>
    </row>
    <row r="164" spans="3:27" x14ac:dyDescent="0.25">
      <c r="F164" s="70" t="s">
        <v>258</v>
      </c>
      <c r="G164" s="57" t="s">
        <v>168</v>
      </c>
      <c r="H164" s="147">
        <f>H161</f>
        <v>3.7699864253871146E-2</v>
      </c>
    </row>
    <row r="165" spans="3:27" x14ac:dyDescent="0.25">
      <c r="F165" s="24"/>
      <c r="G165" s="23"/>
    </row>
    <row r="166" spans="3:27" x14ac:dyDescent="0.25">
      <c r="E166" s="27" t="s">
        <v>486</v>
      </c>
      <c r="G166" s="23"/>
    </row>
    <row r="167" spans="3:27" x14ac:dyDescent="0.25">
      <c r="F167" s="68" t="s">
        <v>464</v>
      </c>
      <c r="G167" s="54" t="s">
        <v>168</v>
      </c>
      <c r="H167" s="97">
        <f>'Inputs by network level'!S40</f>
        <v>0.63717891198827292</v>
      </c>
    </row>
    <row r="168" spans="3:27" x14ac:dyDescent="0.25">
      <c r="F168" s="62" t="s">
        <v>465</v>
      </c>
      <c r="G168" s="23" t="s">
        <v>168</v>
      </c>
      <c r="H168" s="21">
        <f>'Inputs by network level'!S41</f>
        <v>0.3251212237578559</v>
      </c>
    </row>
    <row r="169" spans="3:27" x14ac:dyDescent="0.25">
      <c r="F169" s="70" t="s">
        <v>258</v>
      </c>
      <c r="G169" s="57" t="s">
        <v>168</v>
      </c>
      <c r="H169" s="131">
        <f>'Inputs by network level'!S42</f>
        <v>3.7699864253871146E-2</v>
      </c>
    </row>
    <row r="170" spans="3:27" x14ac:dyDescent="0.25">
      <c r="F170" s="68" t="s">
        <v>297</v>
      </c>
      <c r="G170" s="54" t="s">
        <v>168</v>
      </c>
      <c r="H170" s="97">
        <f>'Inputs by network level'!S43</f>
        <v>0.53140136067327981</v>
      </c>
    </row>
    <row r="171" spans="3:27" x14ac:dyDescent="0.25">
      <c r="F171" s="62" t="s">
        <v>306</v>
      </c>
      <c r="G171" s="23" t="s">
        <v>168</v>
      </c>
      <c r="H171" s="146">
        <f>SUM(H167:H168) - H170</f>
        <v>0.43089877507284902</v>
      </c>
    </row>
    <row r="172" spans="3:27" x14ac:dyDescent="0.25">
      <c r="F172" s="70" t="s">
        <v>258</v>
      </c>
      <c r="G172" s="57" t="s">
        <v>168</v>
      </c>
      <c r="H172" s="147">
        <f>H169</f>
        <v>3.7699864253871146E-2</v>
      </c>
    </row>
    <row r="173" spans="3:27" x14ac:dyDescent="0.25">
      <c r="E173" s="24"/>
      <c r="F173" s="23"/>
      <c r="G173" s="23"/>
    </row>
    <row r="174" spans="3:27" x14ac:dyDescent="0.25">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168</v>
      </c>
      <c r="H177" s="97"/>
      <c r="I177" s="19"/>
      <c r="J177" s="144">
        <f t="shared" ref="J177:K177" si="17">IF(J$20, $H106, $H103)</f>
        <v>0.94699051516559385</v>
      </c>
      <c r="K177" s="144">
        <f t="shared" si="17"/>
        <v>0.94699051516559385</v>
      </c>
      <c r="L177" s="144">
        <f t="shared" ref="L177:M177" si="18">IF(L$20, $H106, $H103)</f>
        <v>0.94699051516559385</v>
      </c>
      <c r="M177" s="144">
        <f t="shared" si="18"/>
        <v>0.94699051516559385</v>
      </c>
      <c r="N177" s="144">
        <f t="shared" ref="N177:P177" si="19">IF(N$20, $H106, $H103)</f>
        <v>0.94699051516559385</v>
      </c>
      <c r="O177" s="144">
        <f t="shared" si="19"/>
        <v>0.94699051516559385</v>
      </c>
      <c r="P177" s="144">
        <f t="shared" si="19"/>
        <v>0.94699051516559385</v>
      </c>
      <c r="Q177" s="144">
        <f t="shared" ref="Q177:S177" si="20">IF(Q$20, $H106, $H103)</f>
        <v>0.90491122713821814</v>
      </c>
      <c r="R177" s="144">
        <f t="shared" si="20"/>
        <v>0.94699051516559385</v>
      </c>
      <c r="S177" s="144">
        <f t="shared" si="20"/>
        <v>0.94699051516559385</v>
      </c>
      <c r="T177" s="144">
        <f t="shared" ref="T177:U177" si="21">IF(T$20, $H106, $H103)</f>
        <v>0.94699051516559385</v>
      </c>
      <c r="U177" s="144">
        <f t="shared" si="21"/>
        <v>0.94699051516559385</v>
      </c>
      <c r="V177" s="144">
        <f t="shared" ref="V177:W177" si="22">IF(V$20, $H106, $H103)</f>
        <v>0.94699051516559385</v>
      </c>
      <c r="W177" s="144">
        <f t="shared" si="22"/>
        <v>0.94699051516559385</v>
      </c>
      <c r="X177" s="144">
        <f t="shared" ref="X177:Y177" si="23">IF(X$20, $H106, $H103)</f>
        <v>0.94699051516559385</v>
      </c>
      <c r="Y177" s="144">
        <f t="shared" si="23"/>
        <v>0.94699051516559385</v>
      </c>
    </row>
    <row r="178" spans="5:25" x14ac:dyDescent="0.25">
      <c r="E178" s="24"/>
      <c r="F178" s="62" t="s">
        <v>465</v>
      </c>
      <c r="G178" s="23" t="s">
        <v>168</v>
      </c>
      <c r="H178" s="21"/>
      <c r="J178" s="135">
        <f t="shared" ref="J178:K178" si="24">IF(J$20, $H107, $H104)</f>
        <v>5.3009484834406179E-2</v>
      </c>
      <c r="K178" s="135">
        <f t="shared" si="24"/>
        <v>5.3009484834406179E-2</v>
      </c>
      <c r="L178" s="135">
        <f t="shared" ref="L178:M178" si="25">IF(L$20, $H107, $H104)</f>
        <v>5.3009484834406179E-2</v>
      </c>
      <c r="M178" s="135">
        <f t="shared" si="25"/>
        <v>5.3009484834406179E-2</v>
      </c>
      <c r="N178" s="135">
        <f t="shared" ref="N178:P178" si="26">IF(N$20, $H107, $H104)</f>
        <v>5.3009484834406179E-2</v>
      </c>
      <c r="O178" s="135">
        <f t="shared" si="26"/>
        <v>5.3009484834406179E-2</v>
      </c>
      <c r="P178" s="135">
        <f t="shared" si="26"/>
        <v>5.3009484834406179E-2</v>
      </c>
      <c r="Q178" s="135">
        <f t="shared" ref="Q178:S178" si="27">IF(Q$20, $H107, $H104)</f>
        <v>9.5088772861781856E-2</v>
      </c>
      <c r="R178" s="135">
        <f t="shared" si="27"/>
        <v>5.3009484834406179E-2</v>
      </c>
      <c r="S178" s="135">
        <f t="shared" si="27"/>
        <v>5.3009484834406179E-2</v>
      </c>
      <c r="T178" s="135">
        <f t="shared" ref="T178:U178" si="28">IF(T$20, $H107, $H104)</f>
        <v>5.3009484834406179E-2</v>
      </c>
      <c r="U178" s="135">
        <f t="shared" si="28"/>
        <v>5.3009484834406179E-2</v>
      </c>
      <c r="V178" s="135">
        <f t="shared" ref="V178:W178" si="29">IF(V$20, $H107, $H104)</f>
        <v>5.3009484834406179E-2</v>
      </c>
      <c r="W178" s="135">
        <f t="shared" si="29"/>
        <v>5.3009484834406179E-2</v>
      </c>
      <c r="X178" s="135">
        <f t="shared" ref="X178:Y178" si="30">IF(X$20, $H107, $H104)</f>
        <v>5.3009484834406179E-2</v>
      </c>
      <c r="Y178" s="135">
        <f t="shared" si="30"/>
        <v>5.3009484834406179E-2</v>
      </c>
    </row>
    <row r="179" spans="5:25" x14ac:dyDescent="0.25">
      <c r="E179" s="24"/>
      <c r="F179" s="70" t="s">
        <v>258</v>
      </c>
      <c r="G179" s="57" t="s">
        <v>168</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168</v>
      </c>
      <c r="H182" s="97"/>
      <c r="I182" s="19"/>
      <c r="J182" s="144">
        <f t="shared" ref="J182:K182" si="38">IF(J$20, $H114, $H111)</f>
        <v>0.86977641867942357</v>
      </c>
      <c r="K182" s="144">
        <f t="shared" si="38"/>
        <v>0.86977641867942357</v>
      </c>
      <c r="L182" s="144">
        <f t="shared" ref="L182:M182" si="39">IF(L$20, $H114, $H111)</f>
        <v>0.86977641867942357</v>
      </c>
      <c r="M182" s="144">
        <f t="shared" si="39"/>
        <v>0.86977641867942357</v>
      </c>
      <c r="N182" s="144">
        <f t="shared" ref="N182:P182" si="40">IF(N$20, $H114, $H111)</f>
        <v>0.86977641867942357</v>
      </c>
      <c r="O182" s="144">
        <f t="shared" si="40"/>
        <v>0.86977641867942357</v>
      </c>
      <c r="P182" s="144">
        <f t="shared" si="40"/>
        <v>0.86977641867942357</v>
      </c>
      <c r="Q182" s="144">
        <f t="shared" ref="Q182:S182" si="41">IF(Q$20, $H114, $H111)</f>
        <v>0.77456476944769914</v>
      </c>
      <c r="R182" s="144">
        <f t="shared" si="41"/>
        <v>0.86977641867942357</v>
      </c>
      <c r="S182" s="144">
        <f t="shared" si="41"/>
        <v>0.86977641867942357</v>
      </c>
      <c r="T182" s="144">
        <f t="shared" ref="T182:U182" si="42">IF(T$20, $H114, $H111)</f>
        <v>0.86977641867942357</v>
      </c>
      <c r="U182" s="144">
        <f t="shared" si="42"/>
        <v>0.86977641867942357</v>
      </c>
      <c r="V182" s="144">
        <f t="shared" ref="V182:W182" si="43">IF(V$20, $H114, $H111)</f>
        <v>0.86977641867942357</v>
      </c>
      <c r="W182" s="144">
        <f t="shared" si="43"/>
        <v>0.86977641867942357</v>
      </c>
      <c r="X182" s="144">
        <f t="shared" ref="X182:Y182" si="44">IF(X$20, $H114, $H111)</f>
        <v>0.86977641867942357</v>
      </c>
      <c r="Y182" s="144">
        <f t="shared" si="44"/>
        <v>0.86977641867942357</v>
      </c>
    </row>
    <row r="183" spans="5:25" x14ac:dyDescent="0.25">
      <c r="E183" s="24"/>
      <c r="F183" s="62" t="s">
        <v>465</v>
      </c>
      <c r="G183" s="23" t="s">
        <v>168</v>
      </c>
      <c r="H183" s="21"/>
      <c r="J183" s="135">
        <f t="shared" ref="J183:K183" si="45">IF(J$20, $H115, $H112)</f>
        <v>0.12678623588467511</v>
      </c>
      <c r="K183" s="135">
        <f t="shared" si="45"/>
        <v>0.12678623588467511</v>
      </c>
      <c r="L183" s="135">
        <f t="shared" ref="L183:M183" si="46">IF(L$20, $H115, $H112)</f>
        <v>0.12678623588467511</v>
      </c>
      <c r="M183" s="135">
        <f t="shared" si="46"/>
        <v>0.12678623588467511</v>
      </c>
      <c r="N183" s="135">
        <f t="shared" ref="N183:P183" si="47">IF(N$20, $H115, $H112)</f>
        <v>0.12678623588467511</v>
      </c>
      <c r="O183" s="135">
        <f t="shared" si="47"/>
        <v>0.12678623588467511</v>
      </c>
      <c r="P183" s="135">
        <f t="shared" si="47"/>
        <v>0.12678623588467511</v>
      </c>
      <c r="Q183" s="135">
        <f t="shared" ref="Q183:S183" si="48">IF(Q$20, $H115, $H112)</f>
        <v>0.22199788511639951</v>
      </c>
      <c r="R183" s="135">
        <f t="shared" si="48"/>
        <v>0.12678623588467511</v>
      </c>
      <c r="S183" s="135">
        <f t="shared" si="48"/>
        <v>0.12678623588467511</v>
      </c>
      <c r="T183" s="135">
        <f t="shared" ref="T183:U183" si="49">IF(T$20, $H115, $H112)</f>
        <v>0.12678623588467511</v>
      </c>
      <c r="U183" s="135">
        <f t="shared" si="49"/>
        <v>0.12678623588467511</v>
      </c>
      <c r="V183" s="135">
        <f t="shared" ref="V183:W183" si="50">IF(V$20, $H115, $H112)</f>
        <v>0.12678623588467511</v>
      </c>
      <c r="W183" s="135">
        <f t="shared" si="50"/>
        <v>0.12678623588467511</v>
      </c>
      <c r="X183" s="135">
        <f t="shared" ref="X183:Y183" si="51">IF(X$20, $H115, $H112)</f>
        <v>0.12678623588467511</v>
      </c>
      <c r="Y183" s="135">
        <f t="shared" si="51"/>
        <v>0.12678623588467511</v>
      </c>
    </row>
    <row r="184" spans="5:25" x14ac:dyDescent="0.25">
      <c r="E184" s="24"/>
      <c r="F184" s="70" t="s">
        <v>258</v>
      </c>
      <c r="G184" s="57" t="s">
        <v>168</v>
      </c>
      <c r="H184" s="131"/>
      <c r="I184" s="28"/>
      <c r="J184" s="145">
        <f t="shared" ref="J184:K184" si="52">IF(J$20, $H116, $H113)</f>
        <v>3.4373454359011885E-3</v>
      </c>
      <c r="K184" s="145">
        <f t="shared" si="52"/>
        <v>3.4373454359011885E-3</v>
      </c>
      <c r="L184" s="145">
        <f t="shared" ref="L184:M184" si="53">IF(L$20, $H116, $H113)</f>
        <v>3.4373454359011885E-3</v>
      </c>
      <c r="M184" s="145">
        <f t="shared" si="53"/>
        <v>3.4373454359011885E-3</v>
      </c>
      <c r="N184" s="145">
        <f t="shared" ref="N184:P184" si="54">IF(N$20, $H116, $H113)</f>
        <v>3.4373454359011885E-3</v>
      </c>
      <c r="O184" s="145">
        <f t="shared" si="54"/>
        <v>3.4373454359011885E-3</v>
      </c>
      <c r="P184" s="145">
        <f t="shared" si="54"/>
        <v>3.4373454359011885E-3</v>
      </c>
      <c r="Q184" s="145">
        <f t="shared" ref="Q184:S184" si="55">IF(Q$20, $H116, $H113)</f>
        <v>3.4373454359011885E-3</v>
      </c>
      <c r="R184" s="145">
        <f t="shared" si="55"/>
        <v>3.4373454359011885E-3</v>
      </c>
      <c r="S184" s="145">
        <f t="shared" si="55"/>
        <v>3.4373454359011885E-3</v>
      </c>
      <c r="T184" s="145">
        <f t="shared" ref="T184:U184" si="56">IF(T$20, $H116, $H113)</f>
        <v>3.4373454359011885E-3</v>
      </c>
      <c r="U184" s="145">
        <f t="shared" si="56"/>
        <v>3.4373454359011885E-3</v>
      </c>
      <c r="V184" s="145">
        <f t="shared" ref="V184:W184" si="57">IF(V$20, $H116, $H113)</f>
        <v>3.4373454359011885E-3</v>
      </c>
      <c r="W184" s="145">
        <f t="shared" si="57"/>
        <v>3.4373454359011885E-3</v>
      </c>
      <c r="X184" s="145">
        <f t="shared" ref="X184:Y184" si="58">IF(X$20, $H116, $H113)</f>
        <v>3.4373454359011885E-3</v>
      </c>
      <c r="Y184" s="145">
        <f t="shared" si="58"/>
        <v>3.4373454359011885E-3</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168</v>
      </c>
      <c r="H187" s="97"/>
      <c r="I187" s="19"/>
      <c r="J187" s="144">
        <f t="shared" ref="J187:K187" si="59">IF(J$20, $H122, $H119)</f>
        <v>0.86977641867942357</v>
      </c>
      <c r="K187" s="144">
        <f t="shared" si="59"/>
        <v>0.86977641867942357</v>
      </c>
      <c r="L187" s="144">
        <f t="shared" ref="L187:M187" si="60">IF(L$20, $H122, $H119)</f>
        <v>0.86977641867942357</v>
      </c>
      <c r="M187" s="144">
        <f t="shared" si="60"/>
        <v>0.86977641867942357</v>
      </c>
      <c r="N187" s="144">
        <f t="shared" ref="N187:P187" si="61">IF(N$20, $H122, $H119)</f>
        <v>0.86977641867942357</v>
      </c>
      <c r="O187" s="144">
        <f t="shared" si="61"/>
        <v>0.86977641867942357</v>
      </c>
      <c r="P187" s="144">
        <f t="shared" si="61"/>
        <v>0.86977641867942357</v>
      </c>
      <c r="Q187" s="144">
        <f t="shared" ref="Q187:S187" si="62">IF(Q$20, $H122, $H119)</f>
        <v>0.77456476944769914</v>
      </c>
      <c r="R187" s="144">
        <f t="shared" si="62"/>
        <v>0.86977641867942357</v>
      </c>
      <c r="S187" s="144">
        <f t="shared" si="62"/>
        <v>0.86977641867942357</v>
      </c>
      <c r="T187" s="144">
        <f t="shared" ref="T187:U187" si="63">IF(T$20, $H122, $H119)</f>
        <v>0.86977641867942357</v>
      </c>
      <c r="U187" s="144">
        <f t="shared" si="63"/>
        <v>0.86977641867942357</v>
      </c>
      <c r="V187" s="144">
        <f t="shared" ref="V187:W187" si="64">IF(V$20, $H122, $H119)</f>
        <v>0.86977641867942357</v>
      </c>
      <c r="W187" s="144">
        <f t="shared" si="64"/>
        <v>0.86977641867942357</v>
      </c>
      <c r="X187" s="144">
        <f t="shared" ref="X187:Y187" si="65">IF(X$20, $H122, $H119)</f>
        <v>0.86977641867942357</v>
      </c>
      <c r="Y187" s="144">
        <f t="shared" si="65"/>
        <v>0.86977641867942357</v>
      </c>
    </row>
    <row r="188" spans="5:25" x14ac:dyDescent="0.25">
      <c r="E188" s="24"/>
      <c r="F188" s="62" t="s">
        <v>465</v>
      </c>
      <c r="G188" s="23" t="s">
        <v>168</v>
      </c>
      <c r="H188" s="21"/>
      <c r="J188" s="135">
        <f t="shared" ref="J188:K188" si="66">IF(J$20, $H123, $H120)</f>
        <v>0.12678623588467511</v>
      </c>
      <c r="K188" s="135">
        <f t="shared" si="66"/>
        <v>0.12678623588467511</v>
      </c>
      <c r="L188" s="135">
        <f t="shared" ref="L188:M188" si="67">IF(L$20, $H123, $H120)</f>
        <v>0.12678623588467511</v>
      </c>
      <c r="M188" s="135">
        <f t="shared" si="67"/>
        <v>0.12678623588467511</v>
      </c>
      <c r="N188" s="135">
        <f t="shared" ref="N188:P188" si="68">IF(N$20, $H123, $H120)</f>
        <v>0.12678623588467511</v>
      </c>
      <c r="O188" s="135">
        <f t="shared" si="68"/>
        <v>0.12678623588467511</v>
      </c>
      <c r="P188" s="135">
        <f t="shared" si="68"/>
        <v>0.12678623588467511</v>
      </c>
      <c r="Q188" s="135">
        <f t="shared" ref="Q188:S188" si="69">IF(Q$20, $H123, $H120)</f>
        <v>0.22199788511639951</v>
      </c>
      <c r="R188" s="135">
        <f t="shared" si="69"/>
        <v>0.12678623588467511</v>
      </c>
      <c r="S188" s="135">
        <f t="shared" si="69"/>
        <v>0.12678623588467511</v>
      </c>
      <c r="T188" s="135">
        <f t="shared" ref="T188:U188" si="70">IF(T$20, $H123, $H120)</f>
        <v>0.12678623588467511</v>
      </c>
      <c r="U188" s="135">
        <f t="shared" si="70"/>
        <v>0.12678623588467511</v>
      </c>
      <c r="V188" s="135">
        <f t="shared" ref="V188:W188" si="71">IF(V$20, $H123, $H120)</f>
        <v>0.12678623588467511</v>
      </c>
      <c r="W188" s="135">
        <f t="shared" si="71"/>
        <v>0.12678623588467511</v>
      </c>
      <c r="X188" s="135">
        <f t="shared" ref="X188:Y188" si="72">IF(X$20, $H123, $H120)</f>
        <v>0.12678623588467511</v>
      </c>
      <c r="Y188" s="135">
        <f t="shared" si="72"/>
        <v>0.12678623588467511</v>
      </c>
    </row>
    <row r="189" spans="5:25" x14ac:dyDescent="0.25">
      <c r="E189" s="24"/>
      <c r="F189" s="70" t="s">
        <v>258</v>
      </c>
      <c r="G189" s="57" t="s">
        <v>168</v>
      </c>
      <c r="H189" s="131"/>
      <c r="I189" s="28"/>
      <c r="J189" s="145">
        <f t="shared" ref="J189:K189" si="73">IF(J$20, $H124, $H121)</f>
        <v>3.4373454359011885E-3</v>
      </c>
      <c r="K189" s="145">
        <f t="shared" si="73"/>
        <v>3.4373454359011885E-3</v>
      </c>
      <c r="L189" s="145">
        <f t="shared" ref="L189:M189" si="74">IF(L$20, $H124, $H121)</f>
        <v>3.4373454359011885E-3</v>
      </c>
      <c r="M189" s="145">
        <f t="shared" si="74"/>
        <v>3.4373454359011885E-3</v>
      </c>
      <c r="N189" s="145">
        <f t="shared" ref="N189:P189" si="75">IF(N$20, $H124, $H121)</f>
        <v>3.4373454359011885E-3</v>
      </c>
      <c r="O189" s="145">
        <f t="shared" si="75"/>
        <v>3.4373454359011885E-3</v>
      </c>
      <c r="P189" s="145">
        <f t="shared" si="75"/>
        <v>3.4373454359011885E-3</v>
      </c>
      <c r="Q189" s="145">
        <f t="shared" ref="Q189:S189" si="76">IF(Q$20, $H124, $H121)</f>
        <v>3.4373454359011885E-3</v>
      </c>
      <c r="R189" s="145">
        <f t="shared" si="76"/>
        <v>3.4373454359011885E-3</v>
      </c>
      <c r="S189" s="145">
        <f t="shared" si="76"/>
        <v>3.4373454359011885E-3</v>
      </c>
      <c r="T189" s="145">
        <f t="shared" ref="T189:U189" si="77">IF(T$20, $H124, $H121)</f>
        <v>3.4373454359011885E-3</v>
      </c>
      <c r="U189" s="145">
        <f t="shared" si="77"/>
        <v>3.4373454359011885E-3</v>
      </c>
      <c r="V189" s="145">
        <f t="shared" ref="V189:W189" si="78">IF(V$20, $H124, $H121)</f>
        <v>3.4373454359011885E-3</v>
      </c>
      <c r="W189" s="145">
        <f t="shared" si="78"/>
        <v>3.4373454359011885E-3</v>
      </c>
      <c r="X189" s="145">
        <f t="shared" ref="X189:Y189" si="79">IF(X$20, $H124, $H121)</f>
        <v>3.4373454359011885E-3</v>
      </c>
      <c r="Y189" s="145">
        <f t="shared" si="79"/>
        <v>3.4373454359011885E-3</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168</v>
      </c>
      <c r="H192" s="97"/>
      <c r="I192" s="19"/>
      <c r="J192" s="144">
        <f t="shared" ref="J192:K192" si="80">IF(J$20, $H130, $H127)</f>
        <v>0.63717891198827292</v>
      </c>
      <c r="K192" s="144">
        <f t="shared" si="80"/>
        <v>0.63717891198827292</v>
      </c>
      <c r="L192" s="144">
        <f t="shared" ref="L192:M192" si="81">IF(L$20, $H130, $H127)</f>
        <v>0.63717891198827292</v>
      </c>
      <c r="M192" s="144">
        <f t="shared" si="81"/>
        <v>0.63717891198827292</v>
      </c>
      <c r="N192" s="144">
        <f t="shared" ref="N192:P192" si="82">IF(N$20, $H130, $H127)</f>
        <v>0.63717891198827292</v>
      </c>
      <c r="O192" s="144">
        <f t="shared" si="82"/>
        <v>0.63717891198827292</v>
      </c>
      <c r="P192" s="144">
        <f t="shared" si="82"/>
        <v>0.63717891198827292</v>
      </c>
      <c r="Q192" s="144">
        <f t="shared" ref="Q192:S192" si="83">IF(Q$20, $H130, $H127)</f>
        <v>0.53140136067327981</v>
      </c>
      <c r="R192" s="144">
        <f t="shared" si="83"/>
        <v>0.63717891198827292</v>
      </c>
      <c r="S192" s="144">
        <f t="shared" si="83"/>
        <v>0.63717891198827292</v>
      </c>
      <c r="T192" s="144">
        <f t="shared" ref="T192:U192" si="84">IF(T$20, $H130, $H127)</f>
        <v>0.63717891198827292</v>
      </c>
      <c r="U192" s="144">
        <f t="shared" si="84"/>
        <v>0.63717891198827292</v>
      </c>
      <c r="V192" s="144">
        <f t="shared" ref="V192:W192" si="85">IF(V$20, $H130, $H127)</f>
        <v>0.63717891198827292</v>
      </c>
      <c r="W192" s="144">
        <f t="shared" si="85"/>
        <v>0.63717891198827292</v>
      </c>
      <c r="X192" s="144">
        <f t="shared" ref="X192:Y192" si="86">IF(X$20, $H130, $H127)</f>
        <v>0.63717891198827292</v>
      </c>
      <c r="Y192" s="144">
        <f t="shared" si="86"/>
        <v>0.63717891198827292</v>
      </c>
    </row>
    <row r="193" spans="5:25" x14ac:dyDescent="0.25">
      <c r="E193" s="24"/>
      <c r="F193" s="62" t="s">
        <v>465</v>
      </c>
      <c r="G193" s="23" t="s">
        <v>168</v>
      </c>
      <c r="H193" s="21"/>
      <c r="J193" s="135">
        <f t="shared" ref="J193:K193" si="87">IF(J$20, $H131, $H128)</f>
        <v>0.3251212237578559</v>
      </c>
      <c r="K193" s="135">
        <f t="shared" si="87"/>
        <v>0.3251212237578559</v>
      </c>
      <c r="L193" s="135">
        <f t="shared" ref="L193:M193" si="88">IF(L$20, $H131, $H128)</f>
        <v>0.3251212237578559</v>
      </c>
      <c r="M193" s="135">
        <f t="shared" si="88"/>
        <v>0.3251212237578559</v>
      </c>
      <c r="N193" s="135">
        <f t="shared" ref="N193:P193" si="89">IF(N$20, $H131, $H128)</f>
        <v>0.3251212237578559</v>
      </c>
      <c r="O193" s="135">
        <f t="shared" si="89"/>
        <v>0.3251212237578559</v>
      </c>
      <c r="P193" s="135">
        <f t="shared" si="89"/>
        <v>0.3251212237578559</v>
      </c>
      <c r="Q193" s="135">
        <f t="shared" ref="Q193:S193" si="90">IF(Q$20, $H131, $H128)</f>
        <v>0.43089877507284902</v>
      </c>
      <c r="R193" s="135">
        <f t="shared" si="90"/>
        <v>0.3251212237578559</v>
      </c>
      <c r="S193" s="135">
        <f t="shared" si="90"/>
        <v>0.3251212237578559</v>
      </c>
      <c r="T193" s="135">
        <f t="shared" ref="T193:U193" si="91">IF(T$20, $H131, $H128)</f>
        <v>0.3251212237578559</v>
      </c>
      <c r="U193" s="135">
        <f t="shared" si="91"/>
        <v>0.3251212237578559</v>
      </c>
      <c r="V193" s="135">
        <f t="shared" ref="V193:W193" si="92">IF(V$20, $H131, $H128)</f>
        <v>0.3251212237578559</v>
      </c>
      <c r="W193" s="135">
        <f t="shared" si="92"/>
        <v>0.3251212237578559</v>
      </c>
      <c r="X193" s="135">
        <f t="shared" ref="X193:Y193" si="93">IF(X$20, $H131, $H128)</f>
        <v>0.3251212237578559</v>
      </c>
      <c r="Y193" s="135">
        <f t="shared" si="93"/>
        <v>0.3251212237578559</v>
      </c>
    </row>
    <row r="194" spans="5:25" x14ac:dyDescent="0.25">
      <c r="E194" s="24"/>
      <c r="F194" s="70" t="s">
        <v>258</v>
      </c>
      <c r="G194" s="57" t="s">
        <v>168</v>
      </c>
      <c r="H194" s="131"/>
      <c r="I194" s="28"/>
      <c r="J194" s="145">
        <f t="shared" ref="J194:K194" si="94">IF(J$20, $H132, $H129)</f>
        <v>3.7699864253871146E-2</v>
      </c>
      <c r="K194" s="145">
        <f t="shared" si="94"/>
        <v>3.7699864253871146E-2</v>
      </c>
      <c r="L194" s="145">
        <f t="shared" ref="L194:M194" si="95">IF(L$20, $H132, $H129)</f>
        <v>3.7699864253871146E-2</v>
      </c>
      <c r="M194" s="145">
        <f t="shared" si="95"/>
        <v>3.7699864253871146E-2</v>
      </c>
      <c r="N194" s="145">
        <f t="shared" ref="N194:P194" si="96">IF(N$20, $H132, $H129)</f>
        <v>3.7699864253871146E-2</v>
      </c>
      <c r="O194" s="145">
        <f t="shared" si="96"/>
        <v>3.7699864253871146E-2</v>
      </c>
      <c r="P194" s="145">
        <f t="shared" si="96"/>
        <v>3.7699864253871146E-2</v>
      </c>
      <c r="Q194" s="145">
        <f t="shared" ref="Q194:S194" si="97">IF(Q$20, $H132, $H129)</f>
        <v>3.7699864253871146E-2</v>
      </c>
      <c r="R194" s="145">
        <f t="shared" si="97"/>
        <v>3.7699864253871146E-2</v>
      </c>
      <c r="S194" s="145">
        <f t="shared" si="97"/>
        <v>3.7699864253871146E-2</v>
      </c>
      <c r="T194" s="145">
        <f t="shared" ref="T194:U194" si="98">IF(T$20, $H132, $H129)</f>
        <v>3.7699864253871146E-2</v>
      </c>
      <c r="U194" s="145">
        <f t="shared" si="98"/>
        <v>3.7699864253871146E-2</v>
      </c>
      <c r="V194" s="145">
        <f t="shared" ref="V194:W194" si="99">IF(V$20, $H132, $H129)</f>
        <v>3.7699864253871146E-2</v>
      </c>
      <c r="W194" s="145">
        <f t="shared" si="99"/>
        <v>3.7699864253871146E-2</v>
      </c>
      <c r="X194" s="145">
        <f t="shared" ref="X194:Y194" si="100">IF(X$20, $H132, $H129)</f>
        <v>3.7699864253871146E-2</v>
      </c>
      <c r="Y194" s="145">
        <f t="shared" si="100"/>
        <v>3.7699864253871146E-2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168</v>
      </c>
      <c r="H197" s="97"/>
      <c r="I197" s="19"/>
      <c r="J197" s="144">
        <f t="shared" ref="J197:K197" si="101">IF(J$20, $H138, $H135)</f>
        <v>0.63717891198827292</v>
      </c>
      <c r="K197" s="144">
        <f t="shared" si="101"/>
        <v>0.63717891198827292</v>
      </c>
      <c r="L197" s="144">
        <f t="shared" ref="L197:M197" si="102">IF(L$20, $H138, $H135)</f>
        <v>0.63717891198827292</v>
      </c>
      <c r="M197" s="144">
        <f t="shared" si="102"/>
        <v>0.63717891198827292</v>
      </c>
      <c r="N197" s="144">
        <f t="shared" ref="N197:P197" si="103">IF(N$20, $H138, $H135)</f>
        <v>0.63717891198827292</v>
      </c>
      <c r="O197" s="144">
        <f t="shared" si="103"/>
        <v>0.63717891198827292</v>
      </c>
      <c r="P197" s="144">
        <f t="shared" si="103"/>
        <v>0.63717891198827292</v>
      </c>
      <c r="Q197" s="144">
        <f t="shared" ref="Q197:S197" si="104">IF(Q$20, $H138, $H135)</f>
        <v>0.53140136067327981</v>
      </c>
      <c r="R197" s="144">
        <f t="shared" si="104"/>
        <v>0.63717891198827292</v>
      </c>
      <c r="S197" s="144">
        <f t="shared" si="104"/>
        <v>0.63717891198827292</v>
      </c>
      <c r="T197" s="144">
        <f t="shared" ref="T197:U197" si="105">IF(T$20, $H138, $H135)</f>
        <v>0.63717891198827292</v>
      </c>
      <c r="U197" s="144">
        <f t="shared" si="105"/>
        <v>0.63717891198827292</v>
      </c>
      <c r="V197" s="144">
        <f t="shared" ref="V197:W197" si="106">IF(V$20, $H138, $H135)</f>
        <v>0.63717891198827292</v>
      </c>
      <c r="W197" s="144">
        <f t="shared" si="106"/>
        <v>0.63717891198827292</v>
      </c>
      <c r="X197" s="144">
        <f t="shared" ref="X197:Y197" si="107">IF(X$20, $H138, $H135)</f>
        <v>0.63717891198827292</v>
      </c>
      <c r="Y197" s="144">
        <f t="shared" si="107"/>
        <v>0.63717891198827292</v>
      </c>
    </row>
    <row r="198" spans="5:25" x14ac:dyDescent="0.25">
      <c r="E198" s="24"/>
      <c r="F198" s="62" t="s">
        <v>465</v>
      </c>
      <c r="G198" s="23" t="s">
        <v>168</v>
      </c>
      <c r="H198" s="21"/>
      <c r="J198" s="135">
        <f t="shared" ref="J198:K198" si="108">IF(J$20, $H139, $H136)</f>
        <v>0.3251212237578559</v>
      </c>
      <c r="K198" s="135">
        <f t="shared" si="108"/>
        <v>0.3251212237578559</v>
      </c>
      <c r="L198" s="135">
        <f t="shared" ref="L198:M198" si="109">IF(L$20, $H139, $H136)</f>
        <v>0.3251212237578559</v>
      </c>
      <c r="M198" s="135">
        <f t="shared" si="109"/>
        <v>0.3251212237578559</v>
      </c>
      <c r="N198" s="135">
        <f t="shared" ref="N198:P198" si="110">IF(N$20, $H139, $H136)</f>
        <v>0.3251212237578559</v>
      </c>
      <c r="O198" s="135">
        <f t="shared" si="110"/>
        <v>0.3251212237578559</v>
      </c>
      <c r="P198" s="135">
        <f t="shared" si="110"/>
        <v>0.3251212237578559</v>
      </c>
      <c r="Q198" s="135">
        <f t="shared" ref="Q198:S198" si="111">IF(Q$20, $H139, $H136)</f>
        <v>0.43089877507284902</v>
      </c>
      <c r="R198" s="135">
        <f t="shared" si="111"/>
        <v>0.3251212237578559</v>
      </c>
      <c r="S198" s="135">
        <f t="shared" si="111"/>
        <v>0.3251212237578559</v>
      </c>
      <c r="T198" s="135">
        <f t="shared" ref="T198:U198" si="112">IF(T$20, $H139, $H136)</f>
        <v>0.3251212237578559</v>
      </c>
      <c r="U198" s="135">
        <f t="shared" si="112"/>
        <v>0.3251212237578559</v>
      </c>
      <c r="V198" s="135">
        <f t="shared" ref="V198:W198" si="113">IF(V$20, $H139, $H136)</f>
        <v>0.3251212237578559</v>
      </c>
      <c r="W198" s="135">
        <f t="shared" si="113"/>
        <v>0.3251212237578559</v>
      </c>
      <c r="X198" s="135">
        <f t="shared" ref="X198:Y198" si="114">IF(X$20, $H139, $H136)</f>
        <v>0.3251212237578559</v>
      </c>
      <c r="Y198" s="135">
        <f t="shared" si="114"/>
        <v>0.3251212237578559</v>
      </c>
    </row>
    <row r="199" spans="5:25" x14ac:dyDescent="0.25">
      <c r="E199" s="24"/>
      <c r="F199" s="70" t="s">
        <v>258</v>
      </c>
      <c r="G199" s="57" t="s">
        <v>168</v>
      </c>
      <c r="H199" s="131"/>
      <c r="I199" s="28"/>
      <c r="J199" s="145">
        <f t="shared" ref="J199:K199" si="115">IF(J$20, $H140, $H137)</f>
        <v>3.7699864253871146E-2</v>
      </c>
      <c r="K199" s="145">
        <f t="shared" si="115"/>
        <v>3.7699864253871146E-2</v>
      </c>
      <c r="L199" s="145">
        <f t="shared" ref="L199:M199" si="116">IF(L$20, $H140, $H137)</f>
        <v>3.7699864253871146E-2</v>
      </c>
      <c r="M199" s="145">
        <f t="shared" si="116"/>
        <v>3.7699864253871146E-2</v>
      </c>
      <c r="N199" s="145">
        <f t="shared" ref="N199:P199" si="117">IF(N$20, $H140, $H137)</f>
        <v>3.7699864253871146E-2</v>
      </c>
      <c r="O199" s="145">
        <f t="shared" si="117"/>
        <v>3.7699864253871146E-2</v>
      </c>
      <c r="P199" s="145">
        <f t="shared" si="117"/>
        <v>3.7699864253871146E-2</v>
      </c>
      <c r="Q199" s="145">
        <f t="shared" ref="Q199:S199" si="118">IF(Q$20, $H140, $H137)</f>
        <v>3.7699864253871146E-2</v>
      </c>
      <c r="R199" s="145">
        <f t="shared" si="118"/>
        <v>3.7699864253871146E-2</v>
      </c>
      <c r="S199" s="145">
        <f t="shared" si="118"/>
        <v>3.7699864253871146E-2</v>
      </c>
      <c r="T199" s="145">
        <f t="shared" ref="T199:U199" si="119">IF(T$20, $H140, $H137)</f>
        <v>3.7699864253871146E-2</v>
      </c>
      <c r="U199" s="145">
        <f t="shared" si="119"/>
        <v>3.7699864253871146E-2</v>
      </c>
      <c r="V199" s="145">
        <f t="shared" ref="V199:W199" si="120">IF(V$20, $H140, $H137)</f>
        <v>3.7699864253871146E-2</v>
      </c>
      <c r="W199" s="145">
        <f t="shared" si="120"/>
        <v>3.7699864253871146E-2</v>
      </c>
      <c r="X199" s="145">
        <f t="shared" ref="X199:Y199" si="121">IF(X$20, $H140, $H137)</f>
        <v>3.7699864253871146E-2</v>
      </c>
      <c r="Y199" s="145">
        <f t="shared" si="121"/>
        <v>3.7699864253871146E-2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168</v>
      </c>
      <c r="H202" s="97"/>
      <c r="I202" s="19"/>
      <c r="J202" s="144">
        <f t="shared" ref="J202:K202" si="122">IF(J$20, $H146, $H143)</f>
        <v>0.86977641867942357</v>
      </c>
      <c r="K202" s="144">
        <f t="shared" si="122"/>
        <v>0.86977641867942357</v>
      </c>
      <c r="L202" s="144">
        <f t="shared" ref="L202:M202" si="123">IF(L$20, $H146, $H143)</f>
        <v>0.86977641867942357</v>
      </c>
      <c r="M202" s="144">
        <f t="shared" si="123"/>
        <v>0.86977641867942357</v>
      </c>
      <c r="N202" s="144">
        <f t="shared" ref="N202:P202" si="124">IF(N$20, $H146, $H143)</f>
        <v>0.86977641867942357</v>
      </c>
      <c r="O202" s="144">
        <f t="shared" si="124"/>
        <v>0.86977641867942357</v>
      </c>
      <c r="P202" s="144">
        <f t="shared" si="124"/>
        <v>0.86977641867942357</v>
      </c>
      <c r="Q202" s="144">
        <f t="shared" ref="Q202:S202" si="125">IF(Q$20, $H146, $H143)</f>
        <v>0.77456476944769914</v>
      </c>
      <c r="R202" s="144">
        <f t="shared" si="125"/>
        <v>0.86977641867942357</v>
      </c>
      <c r="S202" s="144">
        <f t="shared" si="125"/>
        <v>0.86977641867942357</v>
      </c>
      <c r="T202" s="144">
        <f t="shared" ref="T202:U202" si="126">IF(T$20, $H146, $H143)</f>
        <v>0.86977641867942357</v>
      </c>
      <c r="U202" s="144">
        <f t="shared" si="126"/>
        <v>0.86977641867942357</v>
      </c>
      <c r="V202" s="144">
        <f t="shared" ref="V202:W202" si="127">IF(V$20, $H146, $H143)</f>
        <v>0.86977641867942357</v>
      </c>
      <c r="W202" s="144">
        <f t="shared" si="127"/>
        <v>0.86977641867942357</v>
      </c>
      <c r="X202" s="144">
        <f t="shared" ref="X202:Y202" si="128">IF(X$20, $H146, $H143)</f>
        <v>0.86977641867942357</v>
      </c>
      <c r="Y202" s="144">
        <f t="shared" si="128"/>
        <v>0.86977641867942357</v>
      </c>
    </row>
    <row r="203" spans="5:25" x14ac:dyDescent="0.25">
      <c r="E203" s="24"/>
      <c r="F203" s="62" t="s">
        <v>465</v>
      </c>
      <c r="G203" s="23" t="s">
        <v>168</v>
      </c>
      <c r="H203" s="21"/>
      <c r="J203" s="135">
        <f t="shared" ref="J203:K203" si="129">IF(J$20, $H147, $H144)</f>
        <v>0.12678623588467511</v>
      </c>
      <c r="K203" s="135">
        <f t="shared" si="129"/>
        <v>0.12678623588467511</v>
      </c>
      <c r="L203" s="135">
        <f t="shared" ref="L203:M203" si="130">IF(L$20, $H147, $H144)</f>
        <v>0.12678623588467511</v>
      </c>
      <c r="M203" s="135">
        <f t="shared" si="130"/>
        <v>0.12678623588467511</v>
      </c>
      <c r="N203" s="135">
        <f t="shared" ref="N203:P203" si="131">IF(N$20, $H147, $H144)</f>
        <v>0.12678623588467511</v>
      </c>
      <c r="O203" s="135">
        <f t="shared" si="131"/>
        <v>0.12678623588467511</v>
      </c>
      <c r="P203" s="135">
        <f t="shared" si="131"/>
        <v>0.12678623588467511</v>
      </c>
      <c r="Q203" s="135">
        <f t="shared" ref="Q203:S203" si="132">IF(Q$20, $H147, $H144)</f>
        <v>0.22199788511639951</v>
      </c>
      <c r="R203" s="135">
        <f t="shared" si="132"/>
        <v>0.12678623588467511</v>
      </c>
      <c r="S203" s="135">
        <f t="shared" si="132"/>
        <v>0.12678623588467511</v>
      </c>
      <c r="T203" s="135">
        <f t="shared" ref="T203:U203" si="133">IF(T$20, $H147, $H144)</f>
        <v>0.12678623588467511</v>
      </c>
      <c r="U203" s="135">
        <f t="shared" si="133"/>
        <v>0.12678623588467511</v>
      </c>
      <c r="V203" s="135">
        <f t="shared" ref="V203:W203" si="134">IF(V$20, $H147, $H144)</f>
        <v>0.12678623588467511</v>
      </c>
      <c r="W203" s="135">
        <f t="shared" si="134"/>
        <v>0.12678623588467511</v>
      </c>
      <c r="X203" s="135">
        <f t="shared" ref="X203:Y203" si="135">IF(X$20, $H147, $H144)</f>
        <v>0.12678623588467511</v>
      </c>
      <c r="Y203" s="135">
        <f t="shared" si="135"/>
        <v>0.12678623588467511</v>
      </c>
    </row>
    <row r="204" spans="5:25" x14ac:dyDescent="0.25">
      <c r="E204" s="24"/>
      <c r="F204" s="70" t="s">
        <v>258</v>
      </c>
      <c r="G204" s="57" t="s">
        <v>168</v>
      </c>
      <c r="H204" s="131"/>
      <c r="I204" s="28"/>
      <c r="J204" s="145">
        <f t="shared" ref="J204:K204" si="136">IF(J$20, $H148, $H145)</f>
        <v>3.4373454359011885E-3</v>
      </c>
      <c r="K204" s="145">
        <f t="shared" si="136"/>
        <v>3.4373454359011885E-3</v>
      </c>
      <c r="L204" s="145">
        <f t="shared" ref="L204:M204" si="137">IF(L$20, $H148, $H145)</f>
        <v>3.4373454359011885E-3</v>
      </c>
      <c r="M204" s="145">
        <f t="shared" si="137"/>
        <v>3.4373454359011885E-3</v>
      </c>
      <c r="N204" s="145">
        <f t="shared" ref="N204:P204" si="138">IF(N$20, $H148, $H145)</f>
        <v>3.4373454359011885E-3</v>
      </c>
      <c r="O204" s="145">
        <f t="shared" si="138"/>
        <v>3.4373454359011885E-3</v>
      </c>
      <c r="P204" s="145">
        <f t="shared" si="138"/>
        <v>3.4373454359011885E-3</v>
      </c>
      <c r="Q204" s="145">
        <f t="shared" ref="Q204:S204" si="139">IF(Q$20, $H148, $H145)</f>
        <v>3.4373454359011885E-3</v>
      </c>
      <c r="R204" s="145">
        <f t="shared" si="139"/>
        <v>3.4373454359011885E-3</v>
      </c>
      <c r="S204" s="145">
        <f t="shared" si="139"/>
        <v>3.4373454359011885E-3</v>
      </c>
      <c r="T204" s="145">
        <f t="shared" ref="T204:U204" si="140">IF(T$20, $H148, $H145)</f>
        <v>3.4373454359011885E-3</v>
      </c>
      <c r="U204" s="145">
        <f t="shared" si="140"/>
        <v>3.4373454359011885E-3</v>
      </c>
      <c r="V204" s="145">
        <f t="shared" ref="V204:W204" si="141">IF(V$20, $H148, $H145)</f>
        <v>3.4373454359011885E-3</v>
      </c>
      <c r="W204" s="145">
        <f t="shared" si="141"/>
        <v>3.4373454359011885E-3</v>
      </c>
      <c r="X204" s="145">
        <f t="shared" ref="X204:Y204" si="142">IF(X$20, $H148, $H145)</f>
        <v>3.4373454359011885E-3</v>
      </c>
      <c r="Y204" s="145">
        <f t="shared" si="142"/>
        <v>3.4373454359011885E-3</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168</v>
      </c>
      <c r="H207" s="97"/>
      <c r="I207" s="19"/>
      <c r="J207" s="144">
        <f t="shared" ref="J207:K207" si="143">IF(J$20, $H154, $H151)</f>
        <v>0.63717891198827292</v>
      </c>
      <c r="K207" s="144">
        <f t="shared" si="143"/>
        <v>0.63717891198827292</v>
      </c>
      <c r="L207" s="144">
        <f t="shared" ref="L207:M207" si="144">IF(L$20, $H154, $H151)</f>
        <v>0.63717891198827292</v>
      </c>
      <c r="M207" s="144">
        <f t="shared" si="144"/>
        <v>0.63717891198827292</v>
      </c>
      <c r="N207" s="144">
        <f t="shared" ref="N207:P207" si="145">IF(N$20, $H154, $H151)</f>
        <v>0.63717891198827292</v>
      </c>
      <c r="O207" s="144">
        <f t="shared" si="145"/>
        <v>0.63717891198827292</v>
      </c>
      <c r="P207" s="144">
        <f t="shared" si="145"/>
        <v>0.63717891198827292</v>
      </c>
      <c r="Q207" s="144">
        <f t="shared" ref="Q207:S207" si="146">IF(Q$20, $H154, $H151)</f>
        <v>0.53140136067327981</v>
      </c>
      <c r="R207" s="144">
        <f t="shared" si="146"/>
        <v>0.63717891198827292</v>
      </c>
      <c r="S207" s="144">
        <f t="shared" si="146"/>
        <v>0.63717891198827292</v>
      </c>
      <c r="T207" s="144">
        <f t="shared" ref="T207:U207" si="147">IF(T$20, $H154, $H151)</f>
        <v>0.63717891198827292</v>
      </c>
      <c r="U207" s="144">
        <f t="shared" si="147"/>
        <v>0.63717891198827292</v>
      </c>
      <c r="V207" s="144">
        <f t="shared" ref="V207:W207" si="148">IF(V$20, $H154, $H151)</f>
        <v>0.63717891198827292</v>
      </c>
      <c r="W207" s="144">
        <f t="shared" si="148"/>
        <v>0.63717891198827292</v>
      </c>
      <c r="X207" s="144">
        <f t="shared" ref="X207:Y207" si="149">IF(X$20, $H154, $H151)</f>
        <v>0.63717891198827292</v>
      </c>
      <c r="Y207" s="144">
        <f t="shared" si="149"/>
        <v>0.63717891198827292</v>
      </c>
    </row>
    <row r="208" spans="5:25" x14ac:dyDescent="0.25">
      <c r="E208" s="24"/>
      <c r="F208" s="62" t="s">
        <v>465</v>
      </c>
      <c r="G208" s="23" t="s">
        <v>168</v>
      </c>
      <c r="H208" s="21"/>
      <c r="J208" s="135">
        <f t="shared" ref="J208:K208" si="150">IF(J$20, $H155, $H152)</f>
        <v>0.3251212237578559</v>
      </c>
      <c r="K208" s="135">
        <f t="shared" si="150"/>
        <v>0.3251212237578559</v>
      </c>
      <c r="L208" s="135">
        <f t="shared" ref="L208:M208" si="151">IF(L$20, $H155, $H152)</f>
        <v>0.3251212237578559</v>
      </c>
      <c r="M208" s="135">
        <f t="shared" si="151"/>
        <v>0.3251212237578559</v>
      </c>
      <c r="N208" s="135">
        <f t="shared" ref="N208:P208" si="152">IF(N$20, $H155, $H152)</f>
        <v>0.3251212237578559</v>
      </c>
      <c r="O208" s="135">
        <f t="shared" si="152"/>
        <v>0.3251212237578559</v>
      </c>
      <c r="P208" s="135">
        <f t="shared" si="152"/>
        <v>0.3251212237578559</v>
      </c>
      <c r="Q208" s="135">
        <f t="shared" ref="Q208:S208" si="153">IF(Q$20, $H155, $H152)</f>
        <v>0.43089877507284902</v>
      </c>
      <c r="R208" s="135">
        <f t="shared" si="153"/>
        <v>0.3251212237578559</v>
      </c>
      <c r="S208" s="135">
        <f t="shared" si="153"/>
        <v>0.3251212237578559</v>
      </c>
      <c r="T208" s="135">
        <f t="shared" ref="T208:U208" si="154">IF(T$20, $H155, $H152)</f>
        <v>0.3251212237578559</v>
      </c>
      <c r="U208" s="135">
        <f t="shared" si="154"/>
        <v>0.3251212237578559</v>
      </c>
      <c r="V208" s="135">
        <f t="shared" ref="V208:W208" si="155">IF(V$20, $H155, $H152)</f>
        <v>0.3251212237578559</v>
      </c>
      <c r="W208" s="135">
        <f t="shared" si="155"/>
        <v>0.3251212237578559</v>
      </c>
      <c r="X208" s="135">
        <f t="shared" ref="X208:Y208" si="156">IF(X$20, $H155, $H152)</f>
        <v>0.3251212237578559</v>
      </c>
      <c r="Y208" s="135">
        <f t="shared" si="156"/>
        <v>0.3251212237578559</v>
      </c>
    </row>
    <row r="209" spans="3:27" x14ac:dyDescent="0.25">
      <c r="E209" s="24"/>
      <c r="F209" s="70" t="s">
        <v>258</v>
      </c>
      <c r="G209" s="57" t="s">
        <v>168</v>
      </c>
      <c r="H209" s="131"/>
      <c r="I209" s="28"/>
      <c r="J209" s="145">
        <f t="shared" ref="J209:K209" si="157">IF(J$20, $H156, $H153)</f>
        <v>3.7699864253871146E-2</v>
      </c>
      <c r="K209" s="145">
        <f t="shared" si="157"/>
        <v>3.7699864253871146E-2</v>
      </c>
      <c r="L209" s="145">
        <f t="shared" ref="L209:M209" si="158">IF(L$20, $H156, $H153)</f>
        <v>3.7699864253871146E-2</v>
      </c>
      <c r="M209" s="145">
        <f t="shared" si="158"/>
        <v>3.7699864253871146E-2</v>
      </c>
      <c r="N209" s="145">
        <f t="shared" ref="N209:P209" si="159">IF(N$20, $H156, $H153)</f>
        <v>3.7699864253871146E-2</v>
      </c>
      <c r="O209" s="145">
        <f t="shared" si="159"/>
        <v>3.7699864253871146E-2</v>
      </c>
      <c r="P209" s="145">
        <f t="shared" si="159"/>
        <v>3.7699864253871146E-2</v>
      </c>
      <c r="Q209" s="145">
        <f t="shared" ref="Q209:S209" si="160">IF(Q$20, $H156, $H153)</f>
        <v>3.7699864253871146E-2</v>
      </c>
      <c r="R209" s="145">
        <f t="shared" si="160"/>
        <v>3.7699864253871146E-2</v>
      </c>
      <c r="S209" s="145">
        <f t="shared" si="160"/>
        <v>3.7699864253871146E-2</v>
      </c>
      <c r="T209" s="145">
        <f t="shared" ref="T209:U209" si="161">IF(T$20, $H156, $H153)</f>
        <v>3.7699864253871146E-2</v>
      </c>
      <c r="U209" s="145">
        <f t="shared" si="161"/>
        <v>3.7699864253871146E-2</v>
      </c>
      <c r="V209" s="145">
        <f t="shared" ref="V209:W209" si="162">IF(V$20, $H156, $H153)</f>
        <v>3.7699864253871146E-2</v>
      </c>
      <c r="W209" s="145">
        <f t="shared" si="162"/>
        <v>3.7699864253871146E-2</v>
      </c>
      <c r="X209" s="145">
        <f t="shared" ref="X209:Y209" si="163">IF(X$20, $H156, $H153)</f>
        <v>3.7699864253871146E-2</v>
      </c>
      <c r="Y209" s="145">
        <f t="shared" si="163"/>
        <v>3.7699864253871146E-2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168</v>
      </c>
      <c r="H212" s="97"/>
      <c r="I212" s="19"/>
      <c r="J212" s="144">
        <f t="shared" ref="J212:K212" si="164">IF(J$20, $H162, $H159)</f>
        <v>0.63717891198827292</v>
      </c>
      <c r="K212" s="144">
        <f t="shared" si="164"/>
        <v>0.63717891198827292</v>
      </c>
      <c r="L212" s="144">
        <f t="shared" ref="L212:M212" si="165">IF(L$20, $H162, $H159)</f>
        <v>0.63717891198827292</v>
      </c>
      <c r="M212" s="144">
        <f t="shared" si="165"/>
        <v>0.63717891198827292</v>
      </c>
      <c r="N212" s="144">
        <f t="shared" ref="N212:P212" si="166">IF(N$20, $H162, $H159)</f>
        <v>0.63717891198827292</v>
      </c>
      <c r="O212" s="144">
        <f t="shared" si="166"/>
        <v>0.63717891198827292</v>
      </c>
      <c r="P212" s="144">
        <f t="shared" si="166"/>
        <v>0.63717891198827292</v>
      </c>
      <c r="Q212" s="144">
        <f t="shared" ref="Q212:S212" si="167">IF(Q$20, $H162, $H159)</f>
        <v>0.53140136067327981</v>
      </c>
      <c r="R212" s="144">
        <f t="shared" si="167"/>
        <v>0.63717891198827292</v>
      </c>
      <c r="S212" s="144">
        <f t="shared" si="167"/>
        <v>0.63717891198827292</v>
      </c>
      <c r="T212" s="144">
        <f t="shared" ref="T212:U212" si="168">IF(T$20, $H162, $H159)</f>
        <v>0.63717891198827292</v>
      </c>
      <c r="U212" s="144">
        <f t="shared" si="168"/>
        <v>0.63717891198827292</v>
      </c>
      <c r="V212" s="144">
        <f t="shared" ref="V212:W212" si="169">IF(V$20, $H162, $H159)</f>
        <v>0.63717891198827292</v>
      </c>
      <c r="W212" s="144">
        <f t="shared" si="169"/>
        <v>0.63717891198827292</v>
      </c>
      <c r="X212" s="144">
        <f t="shared" ref="X212:Y212" si="170">IF(X$20, $H162, $H159)</f>
        <v>0.63717891198827292</v>
      </c>
      <c r="Y212" s="144">
        <f t="shared" si="170"/>
        <v>0.63717891198827292</v>
      </c>
    </row>
    <row r="213" spans="3:27" x14ac:dyDescent="0.25">
      <c r="E213" s="24"/>
      <c r="F213" s="62" t="s">
        <v>465</v>
      </c>
      <c r="G213" s="23" t="s">
        <v>168</v>
      </c>
      <c r="H213" s="21"/>
      <c r="J213" s="135">
        <f t="shared" ref="J213:K213" si="171">IF(J$20, $H163, $H160)</f>
        <v>0.3251212237578559</v>
      </c>
      <c r="K213" s="135">
        <f t="shared" si="171"/>
        <v>0.3251212237578559</v>
      </c>
      <c r="L213" s="135">
        <f t="shared" ref="L213:M213" si="172">IF(L$20, $H163, $H160)</f>
        <v>0.3251212237578559</v>
      </c>
      <c r="M213" s="135">
        <f t="shared" si="172"/>
        <v>0.3251212237578559</v>
      </c>
      <c r="N213" s="135">
        <f t="shared" ref="N213:P213" si="173">IF(N$20, $H163, $H160)</f>
        <v>0.3251212237578559</v>
      </c>
      <c r="O213" s="135">
        <f t="shared" si="173"/>
        <v>0.3251212237578559</v>
      </c>
      <c r="P213" s="135">
        <f t="shared" si="173"/>
        <v>0.3251212237578559</v>
      </c>
      <c r="Q213" s="135">
        <f t="shared" ref="Q213:S213" si="174">IF(Q$20, $H163, $H160)</f>
        <v>0.43089877507284902</v>
      </c>
      <c r="R213" s="135">
        <f t="shared" si="174"/>
        <v>0.3251212237578559</v>
      </c>
      <c r="S213" s="135">
        <f t="shared" si="174"/>
        <v>0.3251212237578559</v>
      </c>
      <c r="T213" s="135">
        <f t="shared" ref="T213:U213" si="175">IF(T$20, $H163, $H160)</f>
        <v>0.3251212237578559</v>
      </c>
      <c r="U213" s="135">
        <f t="shared" si="175"/>
        <v>0.3251212237578559</v>
      </c>
      <c r="V213" s="135">
        <f t="shared" ref="V213:W213" si="176">IF(V$20, $H163, $H160)</f>
        <v>0.3251212237578559</v>
      </c>
      <c r="W213" s="135">
        <f t="shared" si="176"/>
        <v>0.3251212237578559</v>
      </c>
      <c r="X213" s="135">
        <f t="shared" ref="X213:Y213" si="177">IF(X$20, $H163, $H160)</f>
        <v>0.3251212237578559</v>
      </c>
      <c r="Y213" s="135">
        <f t="shared" si="177"/>
        <v>0.3251212237578559</v>
      </c>
    </row>
    <row r="214" spans="3:27" x14ac:dyDescent="0.25">
      <c r="E214" s="24"/>
      <c r="F214" s="70" t="s">
        <v>258</v>
      </c>
      <c r="G214" s="57" t="s">
        <v>168</v>
      </c>
      <c r="H214" s="131"/>
      <c r="I214" s="28"/>
      <c r="J214" s="145">
        <f t="shared" ref="J214:K214" si="178">IF(J$20, $H164, $H161)</f>
        <v>3.7699864253871146E-2</v>
      </c>
      <c r="K214" s="145">
        <f t="shared" si="178"/>
        <v>3.7699864253871146E-2</v>
      </c>
      <c r="L214" s="145">
        <f t="shared" ref="L214:M214" si="179">IF(L$20, $H164, $H161)</f>
        <v>3.7699864253871146E-2</v>
      </c>
      <c r="M214" s="145">
        <f t="shared" si="179"/>
        <v>3.7699864253871146E-2</v>
      </c>
      <c r="N214" s="145">
        <f t="shared" ref="N214:P214" si="180">IF(N$20, $H164, $H161)</f>
        <v>3.7699864253871146E-2</v>
      </c>
      <c r="O214" s="145">
        <f t="shared" si="180"/>
        <v>3.7699864253871146E-2</v>
      </c>
      <c r="P214" s="145">
        <f t="shared" si="180"/>
        <v>3.7699864253871146E-2</v>
      </c>
      <c r="Q214" s="145">
        <f t="shared" ref="Q214:S214" si="181">IF(Q$20, $H164, $H161)</f>
        <v>3.7699864253871146E-2</v>
      </c>
      <c r="R214" s="145">
        <f t="shared" si="181"/>
        <v>3.7699864253871146E-2</v>
      </c>
      <c r="S214" s="145">
        <f t="shared" si="181"/>
        <v>3.7699864253871146E-2</v>
      </c>
      <c r="T214" s="145">
        <f t="shared" ref="T214:U214" si="182">IF(T$20, $H164, $H161)</f>
        <v>3.7699864253871146E-2</v>
      </c>
      <c r="U214" s="145">
        <f t="shared" si="182"/>
        <v>3.7699864253871146E-2</v>
      </c>
      <c r="V214" s="145">
        <f t="shared" ref="V214:W214" si="183">IF(V$20, $H164, $H161)</f>
        <v>3.7699864253871146E-2</v>
      </c>
      <c r="W214" s="145">
        <f t="shared" si="183"/>
        <v>3.7699864253871146E-2</v>
      </c>
      <c r="X214" s="145">
        <f t="shared" ref="X214:Y214" si="184">IF(X$20, $H164, $H161)</f>
        <v>3.7699864253871146E-2</v>
      </c>
      <c r="Y214" s="145">
        <f t="shared" si="184"/>
        <v>3.7699864253871146E-2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168</v>
      </c>
      <c r="H217" s="97"/>
      <c r="I217" s="19"/>
      <c r="J217" s="144">
        <f t="shared" ref="J217:K217" si="185">IF(J$20, $H170, $H167)</f>
        <v>0.63717891198827292</v>
      </c>
      <c r="K217" s="144">
        <f t="shared" si="185"/>
        <v>0.63717891198827292</v>
      </c>
      <c r="L217" s="144">
        <f t="shared" ref="L217:M217" si="186">IF(L$20, $H170, $H167)</f>
        <v>0.63717891198827292</v>
      </c>
      <c r="M217" s="144">
        <f t="shared" si="186"/>
        <v>0.63717891198827292</v>
      </c>
      <c r="N217" s="144">
        <f t="shared" ref="N217:P217" si="187">IF(N$20, $H170, $H167)</f>
        <v>0.63717891198827292</v>
      </c>
      <c r="O217" s="144">
        <f t="shared" si="187"/>
        <v>0.63717891198827292</v>
      </c>
      <c r="P217" s="144">
        <f t="shared" si="187"/>
        <v>0.63717891198827292</v>
      </c>
      <c r="Q217" s="144">
        <f t="shared" ref="Q217:S217" si="188">IF(Q$20, $H170, $H167)</f>
        <v>0.53140136067327981</v>
      </c>
      <c r="R217" s="144">
        <f t="shared" si="188"/>
        <v>0.63717891198827292</v>
      </c>
      <c r="S217" s="144">
        <f t="shared" si="188"/>
        <v>0.63717891198827292</v>
      </c>
      <c r="T217" s="144">
        <f t="shared" ref="T217:U217" si="189">IF(T$20, $H170, $H167)</f>
        <v>0.63717891198827292</v>
      </c>
      <c r="U217" s="144">
        <f t="shared" si="189"/>
        <v>0.63717891198827292</v>
      </c>
      <c r="V217" s="144">
        <f t="shared" ref="V217:W217" si="190">IF(V$20, $H170, $H167)</f>
        <v>0.63717891198827292</v>
      </c>
      <c r="W217" s="144">
        <f t="shared" si="190"/>
        <v>0.63717891198827292</v>
      </c>
      <c r="X217" s="144">
        <f t="shared" ref="X217:Y217" si="191">IF(X$20, $H170, $H167)</f>
        <v>0.63717891198827292</v>
      </c>
      <c r="Y217" s="144">
        <f t="shared" si="191"/>
        <v>0.63717891198827292</v>
      </c>
    </row>
    <row r="218" spans="3:27" x14ac:dyDescent="0.25">
      <c r="E218" s="24"/>
      <c r="F218" s="62" t="s">
        <v>465</v>
      </c>
      <c r="G218" s="23" t="s">
        <v>168</v>
      </c>
      <c r="H218" s="21"/>
      <c r="J218" s="135">
        <f t="shared" ref="J218:K218" si="192">IF(J$20, $H171, $H168)</f>
        <v>0.3251212237578559</v>
      </c>
      <c r="K218" s="135">
        <f t="shared" si="192"/>
        <v>0.3251212237578559</v>
      </c>
      <c r="L218" s="135">
        <f t="shared" ref="L218:M218" si="193">IF(L$20, $H171, $H168)</f>
        <v>0.3251212237578559</v>
      </c>
      <c r="M218" s="135">
        <f t="shared" si="193"/>
        <v>0.3251212237578559</v>
      </c>
      <c r="N218" s="135">
        <f t="shared" ref="N218:P218" si="194">IF(N$20, $H171, $H168)</f>
        <v>0.3251212237578559</v>
      </c>
      <c r="O218" s="135">
        <f t="shared" si="194"/>
        <v>0.3251212237578559</v>
      </c>
      <c r="P218" s="135">
        <f t="shared" si="194"/>
        <v>0.3251212237578559</v>
      </c>
      <c r="Q218" s="135">
        <f t="shared" ref="Q218:S218" si="195">IF(Q$20, $H171, $H168)</f>
        <v>0.43089877507284902</v>
      </c>
      <c r="R218" s="135">
        <f t="shared" si="195"/>
        <v>0.3251212237578559</v>
      </c>
      <c r="S218" s="135">
        <f t="shared" si="195"/>
        <v>0.3251212237578559</v>
      </c>
      <c r="T218" s="135">
        <f t="shared" ref="T218:U218" si="196">IF(T$20, $H171, $H168)</f>
        <v>0.3251212237578559</v>
      </c>
      <c r="U218" s="135">
        <f t="shared" si="196"/>
        <v>0.3251212237578559</v>
      </c>
      <c r="V218" s="135">
        <f t="shared" ref="V218:W218" si="197">IF(V$20, $H171, $H168)</f>
        <v>0.3251212237578559</v>
      </c>
      <c r="W218" s="135">
        <f t="shared" si="197"/>
        <v>0.3251212237578559</v>
      </c>
      <c r="X218" s="135">
        <f t="shared" ref="X218:Y218" si="198">IF(X$20, $H171, $H168)</f>
        <v>0.3251212237578559</v>
      </c>
      <c r="Y218" s="135">
        <f t="shared" si="198"/>
        <v>0.3251212237578559</v>
      </c>
    </row>
    <row r="219" spans="3:27" x14ac:dyDescent="0.25">
      <c r="E219" s="24"/>
      <c r="F219" s="70" t="s">
        <v>258</v>
      </c>
      <c r="G219" s="57" t="s">
        <v>168</v>
      </c>
      <c r="H219" s="131"/>
      <c r="I219" s="28"/>
      <c r="J219" s="145">
        <f t="shared" ref="J219:K219" si="199">IF(J$20, $H172, $H169)</f>
        <v>3.7699864253871146E-2</v>
      </c>
      <c r="K219" s="145">
        <f t="shared" si="199"/>
        <v>3.7699864253871146E-2</v>
      </c>
      <c r="L219" s="145">
        <f t="shared" ref="L219:M219" si="200">IF(L$20, $H172, $H169)</f>
        <v>3.7699864253871146E-2</v>
      </c>
      <c r="M219" s="145">
        <f t="shared" si="200"/>
        <v>3.7699864253871146E-2</v>
      </c>
      <c r="N219" s="145">
        <f t="shared" ref="N219:P219" si="201">IF(N$20, $H172, $H169)</f>
        <v>3.7699864253871146E-2</v>
      </c>
      <c r="O219" s="145">
        <f t="shared" si="201"/>
        <v>3.7699864253871146E-2</v>
      </c>
      <c r="P219" s="145">
        <f t="shared" si="201"/>
        <v>3.7699864253871146E-2</v>
      </c>
      <c r="Q219" s="145">
        <f t="shared" ref="Q219:S219" si="202">IF(Q$20, $H172, $H169)</f>
        <v>3.7699864253871146E-2</v>
      </c>
      <c r="R219" s="145">
        <f t="shared" si="202"/>
        <v>3.7699864253871146E-2</v>
      </c>
      <c r="S219" s="145">
        <f t="shared" si="202"/>
        <v>3.7699864253871146E-2</v>
      </c>
      <c r="T219" s="145">
        <f t="shared" ref="T219:U219" si="203">IF(T$20, $H172, $H169)</f>
        <v>3.7699864253871146E-2</v>
      </c>
      <c r="U219" s="145">
        <f t="shared" si="203"/>
        <v>3.7699864253871146E-2</v>
      </c>
      <c r="V219" s="145">
        <f t="shared" ref="V219:W219" si="204">IF(V$20, $H172, $H169)</f>
        <v>3.7699864253871146E-2</v>
      </c>
      <c r="W219" s="145">
        <f t="shared" si="204"/>
        <v>3.7699864253871146E-2</v>
      </c>
      <c r="X219" s="145">
        <f t="shared" ref="X219:Y219" si="205">IF(X$20, $H172, $H169)</f>
        <v>3.7699864253871146E-2</v>
      </c>
      <c r="Y219" s="145">
        <f t="shared" si="205"/>
        <v>3.7699864253871146E-2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1.9157088122605363E-3</v>
      </c>
      <c r="K224" s="148">
        <f t="shared" si="206"/>
        <v>1.9157088122605363E-3</v>
      </c>
      <c r="L224" s="148">
        <f t="shared" si="206"/>
        <v>1.9157088122605363E-3</v>
      </c>
      <c r="M224" s="148">
        <f t="shared" si="206"/>
        <v>1.9157088122605363E-3</v>
      </c>
      <c r="N224" s="148">
        <f t="shared" si="206"/>
        <v>1.9157088122605363E-3</v>
      </c>
      <c r="O224" s="148">
        <f t="shared" si="206"/>
        <v>1.9157088122605363E-3</v>
      </c>
      <c r="P224" s="148">
        <f t="shared" si="206"/>
        <v>1.9157088122605363E-3</v>
      </c>
      <c r="Q224" s="148">
        <f t="shared" si="206"/>
        <v>6.5789473684210523E-3</v>
      </c>
      <c r="R224" s="148">
        <f t="shared" si="206"/>
        <v>1.9157088122605363E-3</v>
      </c>
      <c r="S224" s="148">
        <f t="shared" si="206"/>
        <v>1.9157088122605363E-3</v>
      </c>
      <c r="T224" s="148">
        <f t="shared" si="206"/>
        <v>1.9157088122605363E-3</v>
      </c>
      <c r="U224" s="148">
        <f t="shared" si="206"/>
        <v>1.9157088122605363E-3</v>
      </c>
      <c r="V224" s="148">
        <f t="shared" si="206"/>
        <v>1.9157088122605363E-3</v>
      </c>
      <c r="W224" s="148">
        <f t="shared" si="206"/>
        <v>1.9157088122605363E-3</v>
      </c>
      <c r="X224" s="148">
        <f t="shared" si="206"/>
        <v>1.9157088122605363E-3</v>
      </c>
      <c r="Y224" s="148">
        <f t="shared" si="206"/>
        <v>1.9157088122605363E-3</v>
      </c>
    </row>
    <row r="225" spans="5:25" x14ac:dyDescent="0.25">
      <c r="F225" s="23" t="s">
        <v>465</v>
      </c>
      <c r="G225" s="23" t="s">
        <v>488</v>
      </c>
      <c r="J225" s="79">
        <f t="shared" ref="J225:Y225" si="207">1 / J25</f>
        <v>2.9036004645760743E-4</v>
      </c>
      <c r="K225" s="79">
        <f t="shared" si="207"/>
        <v>2.9036004645760743E-4</v>
      </c>
      <c r="L225" s="79">
        <f t="shared" si="207"/>
        <v>2.9036004645760743E-4</v>
      </c>
      <c r="M225" s="79">
        <f t="shared" si="207"/>
        <v>2.9036004645760743E-4</v>
      </c>
      <c r="N225" s="79">
        <f t="shared" si="207"/>
        <v>2.9036004645760743E-4</v>
      </c>
      <c r="O225" s="79">
        <f t="shared" si="207"/>
        <v>2.9036004645760743E-4</v>
      </c>
      <c r="P225" s="79">
        <f t="shared" si="207"/>
        <v>2.9036004645760743E-4</v>
      </c>
      <c r="Q225" s="79">
        <f t="shared" si="207"/>
        <v>2.6219192448872575E-4</v>
      </c>
      <c r="R225" s="79">
        <f t="shared" si="207"/>
        <v>2.9036004645760743E-4</v>
      </c>
      <c r="S225" s="79">
        <f t="shared" si="207"/>
        <v>2.9036004645760743E-4</v>
      </c>
      <c r="T225" s="79">
        <f t="shared" si="207"/>
        <v>2.9036004645760743E-4</v>
      </c>
      <c r="U225" s="79">
        <f t="shared" si="207"/>
        <v>2.9036004645760743E-4</v>
      </c>
      <c r="V225" s="79">
        <f t="shared" si="207"/>
        <v>2.9036004645760743E-4</v>
      </c>
      <c r="W225" s="79">
        <f t="shared" si="207"/>
        <v>2.9036004645760743E-4</v>
      </c>
      <c r="X225" s="79">
        <f t="shared" si="207"/>
        <v>2.9036004645760743E-4</v>
      </c>
      <c r="Y225" s="79">
        <f t="shared" si="207"/>
        <v>2.9036004645760743E-4</v>
      </c>
    </row>
    <row r="226" spans="5:25" x14ac:dyDescent="0.25">
      <c r="F226" s="57" t="s">
        <v>258</v>
      </c>
      <c r="G226" s="57" t="s">
        <v>488</v>
      </c>
      <c r="H226" s="28"/>
      <c r="I226" s="28"/>
      <c r="J226" s="72">
        <f t="shared" ref="J226:Y226" si="208">1 / J26</f>
        <v>2.0859407592824363E-4</v>
      </c>
      <c r="K226" s="72">
        <f t="shared" si="208"/>
        <v>2.0859407592824363E-4</v>
      </c>
      <c r="L226" s="72">
        <f t="shared" si="208"/>
        <v>2.0859407592824363E-4</v>
      </c>
      <c r="M226" s="72">
        <f t="shared" si="208"/>
        <v>2.0859407592824363E-4</v>
      </c>
      <c r="N226" s="72">
        <f t="shared" si="208"/>
        <v>2.0859407592824363E-4</v>
      </c>
      <c r="O226" s="72">
        <f t="shared" si="208"/>
        <v>2.0859407592824363E-4</v>
      </c>
      <c r="P226" s="72">
        <f t="shared" si="208"/>
        <v>2.0859407592824363E-4</v>
      </c>
      <c r="Q226" s="72">
        <f t="shared" si="208"/>
        <v>2.0859407592824363E-4</v>
      </c>
      <c r="R226" s="72">
        <f t="shared" si="208"/>
        <v>2.0859407592824363E-4</v>
      </c>
      <c r="S226" s="72">
        <f t="shared" si="208"/>
        <v>2.0859407592824363E-4</v>
      </c>
      <c r="T226" s="72">
        <f t="shared" si="208"/>
        <v>2.0859407592824363E-4</v>
      </c>
      <c r="U226" s="72">
        <f t="shared" si="208"/>
        <v>2.0859407592824363E-4</v>
      </c>
      <c r="V226" s="72">
        <f t="shared" si="208"/>
        <v>2.0859407592824363E-4</v>
      </c>
      <c r="W226" s="72">
        <f t="shared" si="208"/>
        <v>2.0859407592824363E-4</v>
      </c>
      <c r="X226" s="72">
        <f t="shared" si="208"/>
        <v>2.0859407592824363E-4</v>
      </c>
      <c r="Y226" s="72">
        <f t="shared" si="208"/>
        <v>2.0859407592824363E-4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157</v>
      </c>
      <c r="G228" s="23"/>
      <c r="J228" s="79"/>
      <c r="K228" s="79"/>
      <c r="L228" s="79"/>
      <c r="M228" s="79"/>
      <c r="N228" s="79"/>
      <c r="O228" s="79"/>
      <c r="P228" s="79"/>
      <c r="Q228" s="79"/>
      <c r="R228" s="79"/>
      <c r="S228" s="79"/>
      <c r="T228" s="79"/>
      <c r="U228" s="79"/>
      <c r="V228" s="79"/>
      <c r="W228" s="79"/>
      <c r="X228" s="79"/>
      <c r="Y228" s="79"/>
    </row>
    <row r="229" spans="5:25" x14ac:dyDescent="0.25">
      <c r="F229" s="149" t="s">
        <v>192</v>
      </c>
      <c r="G229" s="54" t="s">
        <v>284</v>
      </c>
      <c r="H229" s="19"/>
      <c r="I229" s="19"/>
      <c r="J229" s="143">
        <f>J177 * J$224 * hours_in_year</f>
        <v>15.892024737261689</v>
      </c>
      <c r="K229" s="143">
        <f t="shared" ref="K229:Y229" si="209">K177 * K$224 * hours_in_year</f>
        <v>15.892024737261689</v>
      </c>
      <c r="L229" s="143">
        <f t="shared" si="209"/>
        <v>15.892024737261689</v>
      </c>
      <c r="M229" s="143">
        <f t="shared" si="209"/>
        <v>15.892024737261689</v>
      </c>
      <c r="N229" s="143">
        <f t="shared" si="209"/>
        <v>15.892024737261689</v>
      </c>
      <c r="O229" s="143">
        <f t="shared" si="209"/>
        <v>15.892024737261689</v>
      </c>
      <c r="P229" s="143">
        <f t="shared" si="209"/>
        <v>15.892024737261689</v>
      </c>
      <c r="Q229" s="143">
        <f t="shared" si="209"/>
        <v>52.151462827176253</v>
      </c>
      <c r="R229" s="143">
        <f t="shared" si="209"/>
        <v>15.892024737261689</v>
      </c>
      <c r="S229" s="143">
        <f t="shared" si="209"/>
        <v>15.892024737261689</v>
      </c>
      <c r="T229" s="143">
        <f t="shared" si="209"/>
        <v>15.892024737261689</v>
      </c>
      <c r="U229" s="143">
        <f t="shared" si="209"/>
        <v>15.892024737261689</v>
      </c>
      <c r="V229" s="143">
        <f t="shared" si="209"/>
        <v>15.892024737261689</v>
      </c>
      <c r="W229" s="143">
        <f t="shared" si="209"/>
        <v>15.892024737261689</v>
      </c>
      <c r="X229" s="143">
        <f t="shared" si="209"/>
        <v>15.892024737261689</v>
      </c>
      <c r="Y229" s="143">
        <f t="shared" si="209"/>
        <v>15.892024737261689</v>
      </c>
    </row>
    <row r="230" spans="5:25" x14ac:dyDescent="0.25">
      <c r="F230" s="150" t="s">
        <v>193</v>
      </c>
      <c r="G230" s="23" t="s">
        <v>284</v>
      </c>
      <c r="J230" s="143">
        <f t="shared" ref="J230:Y230" si="210">J182 * J224 * hours_in_year</f>
        <v>14.596247945654692</v>
      </c>
      <c r="K230" s="143">
        <f t="shared" si="210"/>
        <v>14.596247945654692</v>
      </c>
      <c r="L230" s="143">
        <f t="shared" si="210"/>
        <v>14.596247945654692</v>
      </c>
      <c r="M230" s="143">
        <f t="shared" si="210"/>
        <v>14.596247945654692</v>
      </c>
      <c r="N230" s="143">
        <f t="shared" si="210"/>
        <v>14.596247945654692</v>
      </c>
      <c r="O230" s="143">
        <f t="shared" si="210"/>
        <v>14.596247945654692</v>
      </c>
      <c r="P230" s="143">
        <f t="shared" si="210"/>
        <v>14.596247945654692</v>
      </c>
      <c r="Q230" s="143">
        <f t="shared" si="210"/>
        <v>44.639390660275289</v>
      </c>
      <c r="R230" s="143">
        <f t="shared" si="210"/>
        <v>14.596247945654692</v>
      </c>
      <c r="S230" s="143">
        <f t="shared" si="210"/>
        <v>14.596247945654692</v>
      </c>
      <c r="T230" s="143">
        <f t="shared" si="210"/>
        <v>14.596247945654692</v>
      </c>
      <c r="U230" s="143">
        <f t="shared" si="210"/>
        <v>14.596247945654692</v>
      </c>
      <c r="V230" s="143">
        <f t="shared" si="210"/>
        <v>14.596247945654692</v>
      </c>
      <c r="W230" s="143">
        <f t="shared" si="210"/>
        <v>14.596247945654692</v>
      </c>
      <c r="X230" s="143">
        <f t="shared" si="210"/>
        <v>14.596247945654692</v>
      </c>
      <c r="Y230" s="143">
        <f t="shared" si="210"/>
        <v>14.596247945654692</v>
      </c>
    </row>
    <row r="231" spans="5:25" x14ac:dyDescent="0.25">
      <c r="F231" s="150" t="s">
        <v>194</v>
      </c>
      <c r="G231" s="23" t="s">
        <v>284</v>
      </c>
      <c r="J231" s="143">
        <f t="shared" ref="J231:Y231" si="211">J187 * J224 * hours_in_year</f>
        <v>14.596247945654692</v>
      </c>
      <c r="K231" s="143">
        <f t="shared" si="211"/>
        <v>14.596247945654692</v>
      </c>
      <c r="L231" s="143">
        <f t="shared" si="211"/>
        <v>14.596247945654692</v>
      </c>
      <c r="M231" s="143">
        <f t="shared" si="211"/>
        <v>14.596247945654692</v>
      </c>
      <c r="N231" s="143">
        <f t="shared" si="211"/>
        <v>14.596247945654692</v>
      </c>
      <c r="O231" s="143">
        <f t="shared" si="211"/>
        <v>14.596247945654692</v>
      </c>
      <c r="P231" s="143">
        <f t="shared" si="211"/>
        <v>14.596247945654692</v>
      </c>
      <c r="Q231" s="143">
        <f t="shared" si="211"/>
        <v>44.639390660275289</v>
      </c>
      <c r="R231" s="143">
        <f t="shared" si="211"/>
        <v>14.596247945654692</v>
      </c>
      <c r="S231" s="143">
        <f t="shared" si="211"/>
        <v>14.596247945654692</v>
      </c>
      <c r="T231" s="143">
        <f t="shared" si="211"/>
        <v>14.596247945654692</v>
      </c>
      <c r="U231" s="143">
        <f t="shared" si="211"/>
        <v>14.596247945654692</v>
      </c>
      <c r="V231" s="143">
        <f t="shared" si="211"/>
        <v>14.596247945654692</v>
      </c>
      <c r="W231" s="143">
        <f t="shared" si="211"/>
        <v>14.596247945654692</v>
      </c>
      <c r="X231" s="143">
        <f t="shared" si="211"/>
        <v>14.596247945654692</v>
      </c>
      <c r="Y231" s="143">
        <f t="shared" si="211"/>
        <v>14.596247945654692</v>
      </c>
    </row>
    <row r="232" spans="5:25" x14ac:dyDescent="0.25">
      <c r="F232" s="150" t="s">
        <v>195</v>
      </c>
      <c r="G232" s="23" t="s">
        <v>284</v>
      </c>
      <c r="J232" s="143">
        <f t="shared" ref="J232:Y232" si="212">J192 * J224 * hours_in_year</f>
        <v>10.692887488538833</v>
      </c>
      <c r="K232" s="143">
        <f t="shared" si="212"/>
        <v>10.692887488538833</v>
      </c>
      <c r="L232" s="143">
        <f t="shared" si="212"/>
        <v>10.692887488538833</v>
      </c>
      <c r="M232" s="143">
        <f t="shared" si="212"/>
        <v>10.692887488538833</v>
      </c>
      <c r="N232" s="143">
        <f t="shared" si="212"/>
        <v>10.692887488538833</v>
      </c>
      <c r="O232" s="143">
        <f t="shared" si="212"/>
        <v>10.692887488538833</v>
      </c>
      <c r="P232" s="143">
        <f t="shared" si="212"/>
        <v>10.692887488538833</v>
      </c>
      <c r="Q232" s="143">
        <f t="shared" si="212"/>
        <v>30.625499470381126</v>
      </c>
      <c r="R232" s="143">
        <f t="shared" si="212"/>
        <v>10.692887488538833</v>
      </c>
      <c r="S232" s="143">
        <f t="shared" si="212"/>
        <v>10.692887488538833</v>
      </c>
      <c r="T232" s="143">
        <f t="shared" si="212"/>
        <v>10.692887488538833</v>
      </c>
      <c r="U232" s="143">
        <f t="shared" si="212"/>
        <v>10.692887488538833</v>
      </c>
      <c r="V232" s="143">
        <f t="shared" si="212"/>
        <v>10.692887488538833</v>
      </c>
      <c r="W232" s="143">
        <f t="shared" si="212"/>
        <v>10.692887488538833</v>
      </c>
      <c r="X232" s="143">
        <f t="shared" si="212"/>
        <v>10.692887488538833</v>
      </c>
      <c r="Y232" s="143">
        <f t="shared" si="212"/>
        <v>10.692887488538833</v>
      </c>
    </row>
    <row r="233" spans="5:25" x14ac:dyDescent="0.25">
      <c r="F233" s="150" t="s">
        <v>196</v>
      </c>
      <c r="G233" s="23" t="s">
        <v>284</v>
      </c>
      <c r="J233" s="143">
        <f t="shared" ref="J233:Y233" si="213">J197 * J224 * hours_in_year</f>
        <v>10.692887488538833</v>
      </c>
      <c r="K233" s="143">
        <f t="shared" si="213"/>
        <v>10.692887488538833</v>
      </c>
      <c r="L233" s="143">
        <f t="shared" si="213"/>
        <v>10.692887488538833</v>
      </c>
      <c r="M233" s="143">
        <f t="shared" si="213"/>
        <v>10.692887488538833</v>
      </c>
      <c r="N233" s="143">
        <f t="shared" si="213"/>
        <v>10.692887488538833</v>
      </c>
      <c r="O233" s="143">
        <f t="shared" si="213"/>
        <v>10.692887488538833</v>
      </c>
      <c r="P233" s="143">
        <f t="shared" si="213"/>
        <v>10.692887488538833</v>
      </c>
      <c r="Q233" s="143">
        <f t="shared" si="213"/>
        <v>30.625499470381126</v>
      </c>
      <c r="R233" s="143">
        <f t="shared" si="213"/>
        <v>10.692887488538833</v>
      </c>
      <c r="S233" s="143">
        <f t="shared" si="213"/>
        <v>10.692887488538833</v>
      </c>
      <c r="T233" s="143">
        <f t="shared" si="213"/>
        <v>10.692887488538833</v>
      </c>
      <c r="U233" s="143">
        <f t="shared" si="213"/>
        <v>10.692887488538833</v>
      </c>
      <c r="V233" s="143">
        <f t="shared" si="213"/>
        <v>10.692887488538833</v>
      </c>
      <c r="W233" s="143">
        <f t="shared" si="213"/>
        <v>10.692887488538833</v>
      </c>
      <c r="X233" s="143">
        <f t="shared" si="213"/>
        <v>10.692887488538833</v>
      </c>
      <c r="Y233" s="143">
        <f t="shared" si="213"/>
        <v>10.692887488538833</v>
      </c>
    </row>
    <row r="234" spans="5:25" x14ac:dyDescent="0.25">
      <c r="F234" s="150" t="s">
        <v>197</v>
      </c>
      <c r="G234" s="23" t="s">
        <v>284</v>
      </c>
      <c r="J234" s="143">
        <f t="shared" ref="J234:Y234" si="214">J202 * J224 * hours_in_year</f>
        <v>14.596247945654692</v>
      </c>
      <c r="K234" s="143">
        <f t="shared" si="214"/>
        <v>14.596247945654692</v>
      </c>
      <c r="L234" s="143">
        <f t="shared" si="214"/>
        <v>14.596247945654692</v>
      </c>
      <c r="M234" s="143">
        <f t="shared" si="214"/>
        <v>14.596247945654692</v>
      </c>
      <c r="N234" s="143">
        <f t="shared" si="214"/>
        <v>14.596247945654692</v>
      </c>
      <c r="O234" s="143">
        <f t="shared" si="214"/>
        <v>14.596247945654692</v>
      </c>
      <c r="P234" s="143">
        <f t="shared" si="214"/>
        <v>14.596247945654692</v>
      </c>
      <c r="Q234" s="143">
        <f t="shared" si="214"/>
        <v>44.639390660275289</v>
      </c>
      <c r="R234" s="143">
        <f t="shared" si="214"/>
        <v>14.596247945654692</v>
      </c>
      <c r="S234" s="143">
        <f t="shared" si="214"/>
        <v>14.596247945654692</v>
      </c>
      <c r="T234" s="143">
        <f t="shared" si="214"/>
        <v>14.596247945654692</v>
      </c>
      <c r="U234" s="143">
        <f t="shared" si="214"/>
        <v>14.596247945654692</v>
      </c>
      <c r="V234" s="143">
        <f t="shared" si="214"/>
        <v>14.596247945654692</v>
      </c>
      <c r="W234" s="143">
        <f t="shared" si="214"/>
        <v>14.596247945654692</v>
      </c>
      <c r="X234" s="143">
        <f t="shared" si="214"/>
        <v>14.596247945654692</v>
      </c>
      <c r="Y234" s="143">
        <f t="shared" si="214"/>
        <v>14.596247945654692</v>
      </c>
    </row>
    <row r="235" spans="5:25" x14ac:dyDescent="0.25">
      <c r="F235" s="150" t="s">
        <v>198</v>
      </c>
      <c r="G235" s="23" t="s">
        <v>284</v>
      </c>
      <c r="J235" s="143">
        <f t="shared" ref="J235:Y235" si="215">J207 * J224 * hours_in_year</f>
        <v>10.692887488538833</v>
      </c>
      <c r="K235" s="143">
        <f t="shared" si="215"/>
        <v>10.692887488538833</v>
      </c>
      <c r="L235" s="143">
        <f t="shared" si="215"/>
        <v>10.692887488538833</v>
      </c>
      <c r="M235" s="143">
        <f t="shared" si="215"/>
        <v>10.692887488538833</v>
      </c>
      <c r="N235" s="143">
        <f t="shared" si="215"/>
        <v>10.692887488538833</v>
      </c>
      <c r="O235" s="143">
        <f t="shared" si="215"/>
        <v>10.692887488538833</v>
      </c>
      <c r="P235" s="143">
        <f t="shared" si="215"/>
        <v>10.692887488538833</v>
      </c>
      <c r="Q235" s="143">
        <f t="shared" si="215"/>
        <v>30.625499470381126</v>
      </c>
      <c r="R235" s="143">
        <f t="shared" si="215"/>
        <v>10.692887488538833</v>
      </c>
      <c r="S235" s="143">
        <f t="shared" si="215"/>
        <v>10.692887488538833</v>
      </c>
      <c r="T235" s="143">
        <f t="shared" si="215"/>
        <v>10.692887488538833</v>
      </c>
      <c r="U235" s="143">
        <f t="shared" si="215"/>
        <v>10.692887488538833</v>
      </c>
      <c r="V235" s="143">
        <f t="shared" si="215"/>
        <v>10.692887488538833</v>
      </c>
      <c r="W235" s="143">
        <f t="shared" si="215"/>
        <v>10.692887488538833</v>
      </c>
      <c r="X235" s="143">
        <f t="shared" si="215"/>
        <v>10.692887488538833</v>
      </c>
      <c r="Y235" s="143">
        <f t="shared" si="215"/>
        <v>10.692887488538833</v>
      </c>
    </row>
    <row r="236" spans="5:25" x14ac:dyDescent="0.25">
      <c r="F236" s="150" t="s">
        <v>199</v>
      </c>
      <c r="G236" s="23" t="s">
        <v>284</v>
      </c>
      <c r="J236" s="143">
        <f t="shared" ref="J236:Y236" si="216">J212 * J224 * hours_in_year</f>
        <v>10.692887488538833</v>
      </c>
      <c r="K236" s="143">
        <f t="shared" si="216"/>
        <v>10.692887488538833</v>
      </c>
      <c r="L236" s="143">
        <f t="shared" si="216"/>
        <v>10.692887488538833</v>
      </c>
      <c r="M236" s="143">
        <f t="shared" si="216"/>
        <v>10.692887488538833</v>
      </c>
      <c r="N236" s="143">
        <f t="shared" si="216"/>
        <v>10.692887488538833</v>
      </c>
      <c r="O236" s="143">
        <f t="shared" si="216"/>
        <v>10.692887488538833</v>
      </c>
      <c r="P236" s="143">
        <f t="shared" si="216"/>
        <v>10.692887488538833</v>
      </c>
      <c r="Q236" s="143">
        <f t="shared" si="216"/>
        <v>30.625499470381126</v>
      </c>
      <c r="R236" s="143">
        <f t="shared" si="216"/>
        <v>10.692887488538833</v>
      </c>
      <c r="S236" s="143">
        <f t="shared" si="216"/>
        <v>10.692887488538833</v>
      </c>
      <c r="T236" s="143">
        <f t="shared" si="216"/>
        <v>10.692887488538833</v>
      </c>
      <c r="U236" s="143">
        <f t="shared" si="216"/>
        <v>10.692887488538833</v>
      </c>
      <c r="V236" s="143">
        <f t="shared" si="216"/>
        <v>10.692887488538833</v>
      </c>
      <c r="W236" s="143">
        <f t="shared" si="216"/>
        <v>10.692887488538833</v>
      </c>
      <c r="X236" s="143">
        <f t="shared" si="216"/>
        <v>10.692887488538833</v>
      </c>
      <c r="Y236" s="143">
        <f t="shared" si="216"/>
        <v>10.692887488538833</v>
      </c>
    </row>
    <row r="237" spans="5:25" x14ac:dyDescent="0.25">
      <c r="F237" s="151" t="s">
        <v>200</v>
      </c>
      <c r="G237" s="57" t="s">
        <v>284</v>
      </c>
      <c r="H237" s="28"/>
      <c r="I237" s="28"/>
      <c r="J237" s="143">
        <f t="shared" ref="J237:Y237" si="217">J217 * J224 * hours_in_year</f>
        <v>10.692887488538833</v>
      </c>
      <c r="K237" s="143">
        <f t="shared" si="217"/>
        <v>10.692887488538833</v>
      </c>
      <c r="L237" s="143">
        <f t="shared" si="217"/>
        <v>10.692887488538833</v>
      </c>
      <c r="M237" s="143">
        <f t="shared" si="217"/>
        <v>10.692887488538833</v>
      </c>
      <c r="N237" s="143">
        <f t="shared" si="217"/>
        <v>10.692887488538833</v>
      </c>
      <c r="O237" s="143">
        <f t="shared" si="217"/>
        <v>10.692887488538833</v>
      </c>
      <c r="P237" s="143">
        <f t="shared" si="217"/>
        <v>10.692887488538833</v>
      </c>
      <c r="Q237" s="143">
        <f t="shared" si="217"/>
        <v>30.625499470381126</v>
      </c>
      <c r="R237" s="143">
        <f t="shared" si="217"/>
        <v>10.692887488538833</v>
      </c>
      <c r="S237" s="143">
        <f t="shared" si="217"/>
        <v>10.692887488538833</v>
      </c>
      <c r="T237" s="143">
        <f t="shared" si="217"/>
        <v>10.692887488538833</v>
      </c>
      <c r="U237" s="143">
        <f t="shared" si="217"/>
        <v>10.692887488538833</v>
      </c>
      <c r="V237" s="143">
        <f t="shared" si="217"/>
        <v>10.692887488538833</v>
      </c>
      <c r="W237" s="143">
        <f t="shared" si="217"/>
        <v>10.692887488538833</v>
      </c>
      <c r="X237" s="143">
        <f t="shared" si="217"/>
        <v>10.692887488538833</v>
      </c>
      <c r="Y237" s="143">
        <f t="shared" si="217"/>
        <v>10.692887488538833</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158</v>
      </c>
      <c r="G239" s="23"/>
      <c r="J239" s="79"/>
      <c r="K239" s="79"/>
      <c r="L239" s="79"/>
      <c r="M239" s="79"/>
      <c r="N239" s="79"/>
      <c r="O239" s="79"/>
      <c r="P239" s="79"/>
      <c r="Q239" s="79"/>
      <c r="R239" s="79"/>
      <c r="S239" s="79"/>
      <c r="T239" s="79"/>
      <c r="U239" s="79"/>
      <c r="V239" s="79"/>
      <c r="W239" s="79"/>
      <c r="X239" s="79"/>
      <c r="Y239" s="79"/>
    </row>
    <row r="240" spans="5:25" x14ac:dyDescent="0.25">
      <c r="F240" s="54" t="s">
        <v>192</v>
      </c>
      <c r="G240" s="54" t="s">
        <v>284</v>
      </c>
      <c r="H240" s="19"/>
      <c r="I240" s="19"/>
      <c r="J240" s="143">
        <f t="shared" ref="J240:Y240" si="218">J178 * J225 * hours_in_year</f>
        <v>0.13483248755789726</v>
      </c>
      <c r="K240" s="143">
        <f t="shared" si="218"/>
        <v>0.13483248755789726</v>
      </c>
      <c r="L240" s="143">
        <f t="shared" si="218"/>
        <v>0.13483248755789726</v>
      </c>
      <c r="M240" s="143">
        <f t="shared" si="218"/>
        <v>0.13483248755789726</v>
      </c>
      <c r="N240" s="143">
        <f t="shared" si="218"/>
        <v>0.13483248755789726</v>
      </c>
      <c r="O240" s="143">
        <f t="shared" si="218"/>
        <v>0.13483248755789726</v>
      </c>
      <c r="P240" s="143">
        <f t="shared" si="218"/>
        <v>0.13483248755789726</v>
      </c>
      <c r="Q240" s="143">
        <f t="shared" si="218"/>
        <v>0.21840001318018068</v>
      </c>
      <c r="R240" s="143">
        <f t="shared" si="218"/>
        <v>0.13483248755789726</v>
      </c>
      <c r="S240" s="143">
        <f t="shared" si="218"/>
        <v>0.13483248755789726</v>
      </c>
      <c r="T240" s="143">
        <f t="shared" si="218"/>
        <v>0.13483248755789726</v>
      </c>
      <c r="U240" s="143">
        <f t="shared" si="218"/>
        <v>0.13483248755789726</v>
      </c>
      <c r="V240" s="143">
        <f t="shared" si="218"/>
        <v>0.13483248755789726</v>
      </c>
      <c r="W240" s="143">
        <f t="shared" si="218"/>
        <v>0.13483248755789726</v>
      </c>
      <c r="X240" s="143">
        <f t="shared" si="218"/>
        <v>0.13483248755789726</v>
      </c>
      <c r="Y240" s="143">
        <f t="shared" si="218"/>
        <v>0.13483248755789726</v>
      </c>
    </row>
    <row r="241" spans="5:25" x14ac:dyDescent="0.25">
      <c r="F241" s="23" t="s">
        <v>193</v>
      </c>
      <c r="G241" s="23" t="s">
        <v>284</v>
      </c>
      <c r="J241" s="143">
        <f t="shared" ref="J241:Y241" si="219">J183 * J225 * hours_in_year</f>
        <v>0.3224876383129367</v>
      </c>
      <c r="K241" s="143">
        <f t="shared" si="219"/>
        <v>0.3224876383129367</v>
      </c>
      <c r="L241" s="143">
        <f t="shared" si="219"/>
        <v>0.3224876383129367</v>
      </c>
      <c r="M241" s="143">
        <f t="shared" si="219"/>
        <v>0.3224876383129367</v>
      </c>
      <c r="N241" s="143">
        <f t="shared" si="219"/>
        <v>0.3224876383129367</v>
      </c>
      <c r="O241" s="143">
        <f t="shared" si="219"/>
        <v>0.3224876383129367</v>
      </c>
      <c r="P241" s="143">
        <f t="shared" si="219"/>
        <v>0.3224876383129367</v>
      </c>
      <c r="Q241" s="143">
        <f t="shared" si="219"/>
        <v>0.50988502192439955</v>
      </c>
      <c r="R241" s="143">
        <f t="shared" si="219"/>
        <v>0.3224876383129367</v>
      </c>
      <c r="S241" s="143">
        <f t="shared" si="219"/>
        <v>0.3224876383129367</v>
      </c>
      <c r="T241" s="143">
        <f t="shared" si="219"/>
        <v>0.3224876383129367</v>
      </c>
      <c r="U241" s="143">
        <f t="shared" si="219"/>
        <v>0.3224876383129367</v>
      </c>
      <c r="V241" s="143">
        <f t="shared" si="219"/>
        <v>0.3224876383129367</v>
      </c>
      <c r="W241" s="143">
        <f t="shared" si="219"/>
        <v>0.3224876383129367</v>
      </c>
      <c r="X241" s="143">
        <f t="shared" si="219"/>
        <v>0.3224876383129367</v>
      </c>
      <c r="Y241" s="143">
        <f t="shared" si="219"/>
        <v>0.3224876383129367</v>
      </c>
    </row>
    <row r="242" spans="5:25" x14ac:dyDescent="0.25">
      <c r="F242" s="23" t="s">
        <v>194</v>
      </c>
      <c r="G242" s="23" t="s">
        <v>284</v>
      </c>
      <c r="J242" s="143">
        <f t="shared" ref="J242:Y242" si="220">J188 * J225 * hours_in_year</f>
        <v>0.3224876383129367</v>
      </c>
      <c r="K242" s="143">
        <f t="shared" si="220"/>
        <v>0.3224876383129367</v>
      </c>
      <c r="L242" s="143">
        <f t="shared" si="220"/>
        <v>0.3224876383129367</v>
      </c>
      <c r="M242" s="143">
        <f t="shared" si="220"/>
        <v>0.3224876383129367</v>
      </c>
      <c r="N242" s="143">
        <f t="shared" si="220"/>
        <v>0.3224876383129367</v>
      </c>
      <c r="O242" s="143">
        <f t="shared" si="220"/>
        <v>0.3224876383129367</v>
      </c>
      <c r="P242" s="143">
        <f t="shared" si="220"/>
        <v>0.3224876383129367</v>
      </c>
      <c r="Q242" s="143">
        <f t="shared" si="220"/>
        <v>0.50988502192439955</v>
      </c>
      <c r="R242" s="143">
        <f t="shared" si="220"/>
        <v>0.3224876383129367</v>
      </c>
      <c r="S242" s="143">
        <f t="shared" si="220"/>
        <v>0.3224876383129367</v>
      </c>
      <c r="T242" s="143">
        <f t="shared" si="220"/>
        <v>0.3224876383129367</v>
      </c>
      <c r="U242" s="143">
        <f t="shared" si="220"/>
        <v>0.3224876383129367</v>
      </c>
      <c r="V242" s="143">
        <f t="shared" si="220"/>
        <v>0.3224876383129367</v>
      </c>
      <c r="W242" s="143">
        <f t="shared" si="220"/>
        <v>0.3224876383129367</v>
      </c>
      <c r="X242" s="143">
        <f t="shared" si="220"/>
        <v>0.3224876383129367</v>
      </c>
      <c r="Y242" s="143">
        <f t="shared" si="220"/>
        <v>0.3224876383129367</v>
      </c>
    </row>
    <row r="243" spans="5:25" x14ac:dyDescent="0.25">
      <c r="F243" s="23" t="s">
        <v>195</v>
      </c>
      <c r="G243" s="23" t="s">
        <v>284</v>
      </c>
      <c r="J243" s="143">
        <f t="shared" ref="J243:Y243" si="221">J193 * J225 * hours_in_year</f>
        <v>0.82696339143984254</v>
      </c>
      <c r="K243" s="143">
        <f t="shared" si="221"/>
        <v>0.82696339143984254</v>
      </c>
      <c r="L243" s="143">
        <f t="shared" si="221"/>
        <v>0.82696339143984254</v>
      </c>
      <c r="M243" s="143">
        <f t="shared" si="221"/>
        <v>0.82696339143984254</v>
      </c>
      <c r="N243" s="143">
        <f t="shared" si="221"/>
        <v>0.82696339143984254</v>
      </c>
      <c r="O243" s="143">
        <f t="shared" si="221"/>
        <v>0.82696339143984254</v>
      </c>
      <c r="P243" s="143">
        <f t="shared" si="221"/>
        <v>0.82696339143984254</v>
      </c>
      <c r="Q243" s="143">
        <f t="shared" si="221"/>
        <v>0.98968884888257924</v>
      </c>
      <c r="R243" s="143">
        <f t="shared" si="221"/>
        <v>0.82696339143984254</v>
      </c>
      <c r="S243" s="143">
        <f t="shared" si="221"/>
        <v>0.82696339143984254</v>
      </c>
      <c r="T243" s="143">
        <f t="shared" si="221"/>
        <v>0.82696339143984254</v>
      </c>
      <c r="U243" s="143">
        <f t="shared" si="221"/>
        <v>0.82696339143984254</v>
      </c>
      <c r="V243" s="143">
        <f t="shared" si="221"/>
        <v>0.82696339143984254</v>
      </c>
      <c r="W243" s="143">
        <f t="shared" si="221"/>
        <v>0.82696339143984254</v>
      </c>
      <c r="X243" s="143">
        <f t="shared" si="221"/>
        <v>0.82696339143984254</v>
      </c>
      <c r="Y243" s="143">
        <f t="shared" si="221"/>
        <v>0.82696339143984254</v>
      </c>
    </row>
    <row r="244" spans="5:25" x14ac:dyDescent="0.25">
      <c r="F244" s="23" t="s">
        <v>196</v>
      </c>
      <c r="G244" s="23" t="s">
        <v>284</v>
      </c>
      <c r="J244" s="143">
        <f t="shared" ref="J244:Y244" si="222">J198 * J225 * hours_in_year</f>
        <v>0.82696339143984254</v>
      </c>
      <c r="K244" s="143">
        <f t="shared" si="222"/>
        <v>0.82696339143984254</v>
      </c>
      <c r="L244" s="143">
        <f t="shared" si="222"/>
        <v>0.82696339143984254</v>
      </c>
      <c r="M244" s="143">
        <f t="shared" si="222"/>
        <v>0.82696339143984254</v>
      </c>
      <c r="N244" s="143">
        <f t="shared" si="222"/>
        <v>0.82696339143984254</v>
      </c>
      <c r="O244" s="143">
        <f t="shared" si="222"/>
        <v>0.82696339143984254</v>
      </c>
      <c r="P244" s="143">
        <f t="shared" si="222"/>
        <v>0.82696339143984254</v>
      </c>
      <c r="Q244" s="143">
        <f t="shared" si="222"/>
        <v>0.98968884888257924</v>
      </c>
      <c r="R244" s="143">
        <f t="shared" si="222"/>
        <v>0.82696339143984254</v>
      </c>
      <c r="S244" s="143">
        <f t="shared" si="222"/>
        <v>0.82696339143984254</v>
      </c>
      <c r="T244" s="143">
        <f t="shared" si="222"/>
        <v>0.82696339143984254</v>
      </c>
      <c r="U244" s="143">
        <f t="shared" si="222"/>
        <v>0.82696339143984254</v>
      </c>
      <c r="V244" s="143">
        <f t="shared" si="222"/>
        <v>0.82696339143984254</v>
      </c>
      <c r="W244" s="143">
        <f t="shared" si="222"/>
        <v>0.82696339143984254</v>
      </c>
      <c r="X244" s="143">
        <f t="shared" si="222"/>
        <v>0.82696339143984254</v>
      </c>
      <c r="Y244" s="143">
        <f t="shared" si="222"/>
        <v>0.82696339143984254</v>
      </c>
    </row>
    <row r="245" spans="5:25" x14ac:dyDescent="0.25">
      <c r="F245" s="23" t="s">
        <v>197</v>
      </c>
      <c r="G245" s="23" t="s">
        <v>284</v>
      </c>
      <c r="J245" s="143">
        <f t="shared" ref="J245:Y245" si="223">J203 * J225 * hours_in_year</f>
        <v>0.3224876383129367</v>
      </c>
      <c r="K245" s="143">
        <f t="shared" si="223"/>
        <v>0.3224876383129367</v>
      </c>
      <c r="L245" s="143">
        <f t="shared" si="223"/>
        <v>0.3224876383129367</v>
      </c>
      <c r="M245" s="143">
        <f t="shared" si="223"/>
        <v>0.3224876383129367</v>
      </c>
      <c r="N245" s="143">
        <f t="shared" si="223"/>
        <v>0.3224876383129367</v>
      </c>
      <c r="O245" s="143">
        <f t="shared" si="223"/>
        <v>0.3224876383129367</v>
      </c>
      <c r="P245" s="143">
        <f t="shared" si="223"/>
        <v>0.3224876383129367</v>
      </c>
      <c r="Q245" s="143">
        <f t="shared" si="223"/>
        <v>0.50988502192439955</v>
      </c>
      <c r="R245" s="143">
        <f t="shared" si="223"/>
        <v>0.3224876383129367</v>
      </c>
      <c r="S245" s="143">
        <f t="shared" si="223"/>
        <v>0.3224876383129367</v>
      </c>
      <c r="T245" s="143">
        <f t="shared" si="223"/>
        <v>0.3224876383129367</v>
      </c>
      <c r="U245" s="143">
        <f t="shared" si="223"/>
        <v>0.3224876383129367</v>
      </c>
      <c r="V245" s="143">
        <f t="shared" si="223"/>
        <v>0.3224876383129367</v>
      </c>
      <c r="W245" s="143">
        <f t="shared" si="223"/>
        <v>0.3224876383129367</v>
      </c>
      <c r="X245" s="143">
        <f t="shared" si="223"/>
        <v>0.3224876383129367</v>
      </c>
      <c r="Y245" s="143">
        <f t="shared" si="223"/>
        <v>0.3224876383129367</v>
      </c>
    </row>
    <row r="246" spans="5:25" x14ac:dyDescent="0.25">
      <c r="F246" s="23" t="s">
        <v>198</v>
      </c>
      <c r="G246" s="23" t="s">
        <v>284</v>
      </c>
      <c r="J246" s="143">
        <f t="shared" ref="J246:Y246" si="224">J208 * J225 * hours_in_year</f>
        <v>0.82696339143984254</v>
      </c>
      <c r="K246" s="143">
        <f t="shared" si="224"/>
        <v>0.82696339143984254</v>
      </c>
      <c r="L246" s="143">
        <f t="shared" si="224"/>
        <v>0.82696339143984254</v>
      </c>
      <c r="M246" s="143">
        <f t="shared" si="224"/>
        <v>0.82696339143984254</v>
      </c>
      <c r="N246" s="143">
        <f t="shared" si="224"/>
        <v>0.82696339143984254</v>
      </c>
      <c r="O246" s="143">
        <f t="shared" si="224"/>
        <v>0.82696339143984254</v>
      </c>
      <c r="P246" s="143">
        <f t="shared" si="224"/>
        <v>0.82696339143984254</v>
      </c>
      <c r="Q246" s="143">
        <f t="shared" si="224"/>
        <v>0.98968884888257924</v>
      </c>
      <c r="R246" s="143">
        <f t="shared" si="224"/>
        <v>0.82696339143984254</v>
      </c>
      <c r="S246" s="143">
        <f t="shared" si="224"/>
        <v>0.82696339143984254</v>
      </c>
      <c r="T246" s="143">
        <f t="shared" si="224"/>
        <v>0.82696339143984254</v>
      </c>
      <c r="U246" s="143">
        <f t="shared" si="224"/>
        <v>0.82696339143984254</v>
      </c>
      <c r="V246" s="143">
        <f t="shared" si="224"/>
        <v>0.82696339143984254</v>
      </c>
      <c r="W246" s="143">
        <f t="shared" si="224"/>
        <v>0.82696339143984254</v>
      </c>
      <c r="X246" s="143">
        <f t="shared" si="224"/>
        <v>0.82696339143984254</v>
      </c>
      <c r="Y246" s="143">
        <f t="shared" si="224"/>
        <v>0.82696339143984254</v>
      </c>
    </row>
    <row r="247" spans="5:25" x14ac:dyDescent="0.25">
      <c r="F247" s="23" t="s">
        <v>199</v>
      </c>
      <c r="G247" s="23" t="s">
        <v>284</v>
      </c>
      <c r="J247" s="143">
        <f t="shared" ref="J247:Y247" si="225">J213 * J225 * hours_in_year</f>
        <v>0.82696339143984254</v>
      </c>
      <c r="K247" s="143">
        <f t="shared" si="225"/>
        <v>0.82696339143984254</v>
      </c>
      <c r="L247" s="143">
        <f t="shared" si="225"/>
        <v>0.82696339143984254</v>
      </c>
      <c r="M247" s="143">
        <f t="shared" si="225"/>
        <v>0.82696339143984254</v>
      </c>
      <c r="N247" s="143">
        <f t="shared" si="225"/>
        <v>0.82696339143984254</v>
      </c>
      <c r="O247" s="143">
        <f t="shared" si="225"/>
        <v>0.82696339143984254</v>
      </c>
      <c r="P247" s="143">
        <f t="shared" si="225"/>
        <v>0.82696339143984254</v>
      </c>
      <c r="Q247" s="143">
        <f t="shared" si="225"/>
        <v>0.98968884888257924</v>
      </c>
      <c r="R247" s="143">
        <f t="shared" si="225"/>
        <v>0.82696339143984254</v>
      </c>
      <c r="S247" s="143">
        <f t="shared" si="225"/>
        <v>0.82696339143984254</v>
      </c>
      <c r="T247" s="143">
        <f t="shared" si="225"/>
        <v>0.82696339143984254</v>
      </c>
      <c r="U247" s="143">
        <f t="shared" si="225"/>
        <v>0.82696339143984254</v>
      </c>
      <c r="V247" s="143">
        <f t="shared" si="225"/>
        <v>0.82696339143984254</v>
      </c>
      <c r="W247" s="143">
        <f t="shared" si="225"/>
        <v>0.82696339143984254</v>
      </c>
      <c r="X247" s="143">
        <f t="shared" si="225"/>
        <v>0.82696339143984254</v>
      </c>
      <c r="Y247" s="143">
        <f t="shared" si="225"/>
        <v>0.82696339143984254</v>
      </c>
    </row>
    <row r="248" spans="5:25" x14ac:dyDescent="0.25">
      <c r="F248" s="57" t="s">
        <v>200</v>
      </c>
      <c r="G248" s="57" t="s">
        <v>284</v>
      </c>
      <c r="H248" s="28"/>
      <c r="I248" s="28"/>
      <c r="J248" s="143">
        <f t="shared" ref="J248:Y248" si="226">J218 * J225 * hours_in_year</f>
        <v>0.82696339143984254</v>
      </c>
      <c r="K248" s="143">
        <f t="shared" si="226"/>
        <v>0.82696339143984254</v>
      </c>
      <c r="L248" s="143">
        <f t="shared" si="226"/>
        <v>0.82696339143984254</v>
      </c>
      <c r="M248" s="143">
        <f t="shared" si="226"/>
        <v>0.82696339143984254</v>
      </c>
      <c r="N248" s="143">
        <f t="shared" si="226"/>
        <v>0.82696339143984254</v>
      </c>
      <c r="O248" s="143">
        <f t="shared" si="226"/>
        <v>0.82696339143984254</v>
      </c>
      <c r="P248" s="143">
        <f t="shared" si="226"/>
        <v>0.82696339143984254</v>
      </c>
      <c r="Q248" s="143">
        <f t="shared" si="226"/>
        <v>0.98968884888257924</v>
      </c>
      <c r="R248" s="143">
        <f t="shared" si="226"/>
        <v>0.82696339143984254</v>
      </c>
      <c r="S248" s="143">
        <f t="shared" si="226"/>
        <v>0.82696339143984254</v>
      </c>
      <c r="T248" s="143">
        <f t="shared" si="226"/>
        <v>0.82696339143984254</v>
      </c>
      <c r="U248" s="143">
        <f t="shared" si="226"/>
        <v>0.82696339143984254</v>
      </c>
      <c r="V248" s="143">
        <f t="shared" si="226"/>
        <v>0.82696339143984254</v>
      </c>
      <c r="W248" s="143">
        <f t="shared" si="226"/>
        <v>0.82696339143984254</v>
      </c>
      <c r="X248" s="143">
        <f t="shared" si="226"/>
        <v>0.82696339143984254</v>
      </c>
      <c r="Y248" s="143">
        <f t="shared" si="226"/>
        <v>0.82696339143984254</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159</v>
      </c>
      <c r="G250" s="23"/>
      <c r="J250" s="79"/>
      <c r="K250" s="79"/>
      <c r="L250" s="79"/>
      <c r="M250" s="79"/>
      <c r="N250" s="79"/>
      <c r="O250" s="79"/>
      <c r="P250" s="79"/>
      <c r="Q250" s="79"/>
      <c r="R250" s="79"/>
      <c r="S250" s="79"/>
      <c r="T250" s="79"/>
      <c r="U250" s="79"/>
      <c r="V250" s="79"/>
      <c r="W250" s="79"/>
      <c r="X250" s="79"/>
      <c r="Y250" s="79"/>
    </row>
    <row r="251" spans="5:25" x14ac:dyDescent="0.25">
      <c r="F251" s="54" t="s">
        <v>192</v>
      </c>
      <c r="G251" s="54" t="s">
        <v>284</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193</v>
      </c>
      <c r="G252" s="23" t="s">
        <v>284</v>
      </c>
      <c r="J252" s="143">
        <f t="shared" ref="J252:Y252" si="228">J184 * J226 * hours_in_year</f>
        <v>6.2810066788682537E-3</v>
      </c>
      <c r="K252" s="143">
        <f t="shared" si="228"/>
        <v>6.2810066788682537E-3</v>
      </c>
      <c r="L252" s="143">
        <f t="shared" si="228"/>
        <v>6.2810066788682537E-3</v>
      </c>
      <c r="M252" s="143">
        <f t="shared" si="228"/>
        <v>6.2810066788682537E-3</v>
      </c>
      <c r="N252" s="143">
        <f t="shared" si="228"/>
        <v>6.2810066788682537E-3</v>
      </c>
      <c r="O252" s="143">
        <f t="shared" si="228"/>
        <v>6.2810066788682537E-3</v>
      </c>
      <c r="P252" s="143">
        <f t="shared" si="228"/>
        <v>6.2810066788682537E-3</v>
      </c>
      <c r="Q252" s="143">
        <f t="shared" si="228"/>
        <v>6.2810066788682537E-3</v>
      </c>
      <c r="R252" s="143">
        <f t="shared" si="228"/>
        <v>6.2810066788682537E-3</v>
      </c>
      <c r="S252" s="143">
        <f t="shared" si="228"/>
        <v>6.2810066788682537E-3</v>
      </c>
      <c r="T252" s="143">
        <f t="shared" si="228"/>
        <v>6.2810066788682537E-3</v>
      </c>
      <c r="U252" s="143">
        <f t="shared" si="228"/>
        <v>6.2810066788682537E-3</v>
      </c>
      <c r="V252" s="143">
        <f t="shared" si="228"/>
        <v>6.2810066788682537E-3</v>
      </c>
      <c r="W252" s="143">
        <f t="shared" si="228"/>
        <v>6.2810066788682537E-3</v>
      </c>
      <c r="X252" s="143">
        <f t="shared" si="228"/>
        <v>6.2810066788682537E-3</v>
      </c>
      <c r="Y252" s="143">
        <f t="shared" si="228"/>
        <v>6.2810066788682537E-3</v>
      </c>
    </row>
    <row r="253" spans="5:25" x14ac:dyDescent="0.25">
      <c r="F253" s="23" t="s">
        <v>194</v>
      </c>
      <c r="G253" s="23" t="s">
        <v>284</v>
      </c>
      <c r="J253" s="143">
        <f t="shared" ref="J253:Y253" si="229">J189 * J226 * hours_in_year</f>
        <v>6.2810066788682537E-3</v>
      </c>
      <c r="K253" s="143">
        <f t="shared" si="229"/>
        <v>6.2810066788682537E-3</v>
      </c>
      <c r="L253" s="143">
        <f t="shared" si="229"/>
        <v>6.2810066788682537E-3</v>
      </c>
      <c r="M253" s="143">
        <f t="shared" si="229"/>
        <v>6.2810066788682537E-3</v>
      </c>
      <c r="N253" s="143">
        <f t="shared" si="229"/>
        <v>6.2810066788682537E-3</v>
      </c>
      <c r="O253" s="143">
        <f t="shared" si="229"/>
        <v>6.2810066788682537E-3</v>
      </c>
      <c r="P253" s="143">
        <f t="shared" si="229"/>
        <v>6.2810066788682537E-3</v>
      </c>
      <c r="Q253" s="143">
        <f t="shared" si="229"/>
        <v>6.2810066788682537E-3</v>
      </c>
      <c r="R253" s="143">
        <f t="shared" si="229"/>
        <v>6.2810066788682537E-3</v>
      </c>
      <c r="S253" s="143">
        <f t="shared" si="229"/>
        <v>6.2810066788682537E-3</v>
      </c>
      <c r="T253" s="143">
        <f t="shared" si="229"/>
        <v>6.2810066788682537E-3</v>
      </c>
      <c r="U253" s="143">
        <f t="shared" si="229"/>
        <v>6.2810066788682537E-3</v>
      </c>
      <c r="V253" s="143">
        <f t="shared" si="229"/>
        <v>6.2810066788682537E-3</v>
      </c>
      <c r="W253" s="143">
        <f t="shared" si="229"/>
        <v>6.2810066788682537E-3</v>
      </c>
      <c r="X253" s="143">
        <f t="shared" si="229"/>
        <v>6.2810066788682537E-3</v>
      </c>
      <c r="Y253" s="143">
        <f t="shared" si="229"/>
        <v>6.2810066788682537E-3</v>
      </c>
    </row>
    <row r="254" spans="5:25" x14ac:dyDescent="0.25">
      <c r="F254" s="23" t="s">
        <v>195</v>
      </c>
      <c r="G254" s="23" t="s">
        <v>284</v>
      </c>
      <c r="J254" s="143">
        <f t="shared" ref="J254:Y254" si="230">J194 * J226 * hours_in_year</f>
        <v>6.8888362716710727E-2</v>
      </c>
      <c r="K254" s="143">
        <f t="shared" si="230"/>
        <v>6.8888362716710727E-2</v>
      </c>
      <c r="L254" s="143">
        <f t="shared" si="230"/>
        <v>6.8888362716710727E-2</v>
      </c>
      <c r="M254" s="143">
        <f t="shared" si="230"/>
        <v>6.8888362716710727E-2</v>
      </c>
      <c r="N254" s="143">
        <f t="shared" si="230"/>
        <v>6.8888362716710727E-2</v>
      </c>
      <c r="O254" s="143">
        <f t="shared" si="230"/>
        <v>6.8888362716710727E-2</v>
      </c>
      <c r="P254" s="143">
        <f t="shared" si="230"/>
        <v>6.8888362716710727E-2</v>
      </c>
      <c r="Q254" s="143">
        <f t="shared" si="230"/>
        <v>6.8888362716710727E-2</v>
      </c>
      <c r="R254" s="143">
        <f t="shared" si="230"/>
        <v>6.8888362716710727E-2</v>
      </c>
      <c r="S254" s="143">
        <f t="shared" si="230"/>
        <v>6.8888362716710727E-2</v>
      </c>
      <c r="T254" s="143">
        <f t="shared" si="230"/>
        <v>6.8888362716710727E-2</v>
      </c>
      <c r="U254" s="143">
        <f t="shared" si="230"/>
        <v>6.8888362716710727E-2</v>
      </c>
      <c r="V254" s="143">
        <f t="shared" si="230"/>
        <v>6.8888362716710727E-2</v>
      </c>
      <c r="W254" s="143">
        <f t="shared" si="230"/>
        <v>6.8888362716710727E-2</v>
      </c>
      <c r="X254" s="143">
        <f t="shared" si="230"/>
        <v>6.8888362716710727E-2</v>
      </c>
      <c r="Y254" s="143">
        <f t="shared" si="230"/>
        <v>6.8888362716710727E-2</v>
      </c>
    </row>
    <row r="255" spans="5:25" x14ac:dyDescent="0.25">
      <c r="F255" s="23" t="s">
        <v>196</v>
      </c>
      <c r="G255" s="23" t="s">
        <v>284</v>
      </c>
      <c r="J255" s="143">
        <f t="shared" ref="J255:Y255" si="231">J199 * J226 * hours_in_year</f>
        <v>6.8888362716710727E-2</v>
      </c>
      <c r="K255" s="143">
        <f t="shared" si="231"/>
        <v>6.8888362716710727E-2</v>
      </c>
      <c r="L255" s="143">
        <f t="shared" si="231"/>
        <v>6.8888362716710727E-2</v>
      </c>
      <c r="M255" s="143">
        <f t="shared" si="231"/>
        <v>6.8888362716710727E-2</v>
      </c>
      <c r="N255" s="143">
        <f t="shared" si="231"/>
        <v>6.8888362716710727E-2</v>
      </c>
      <c r="O255" s="143">
        <f t="shared" si="231"/>
        <v>6.8888362716710727E-2</v>
      </c>
      <c r="P255" s="143">
        <f t="shared" si="231"/>
        <v>6.8888362716710727E-2</v>
      </c>
      <c r="Q255" s="143">
        <f t="shared" si="231"/>
        <v>6.8888362716710727E-2</v>
      </c>
      <c r="R255" s="143">
        <f t="shared" si="231"/>
        <v>6.8888362716710727E-2</v>
      </c>
      <c r="S255" s="143">
        <f t="shared" si="231"/>
        <v>6.8888362716710727E-2</v>
      </c>
      <c r="T255" s="143">
        <f t="shared" si="231"/>
        <v>6.8888362716710727E-2</v>
      </c>
      <c r="U255" s="143">
        <f t="shared" si="231"/>
        <v>6.8888362716710727E-2</v>
      </c>
      <c r="V255" s="143">
        <f t="shared" si="231"/>
        <v>6.8888362716710727E-2</v>
      </c>
      <c r="W255" s="143">
        <f t="shared" si="231"/>
        <v>6.8888362716710727E-2</v>
      </c>
      <c r="X255" s="143">
        <f t="shared" si="231"/>
        <v>6.8888362716710727E-2</v>
      </c>
      <c r="Y255" s="143">
        <f t="shared" si="231"/>
        <v>6.8888362716710727E-2</v>
      </c>
    </row>
    <row r="256" spans="5:25" x14ac:dyDescent="0.25">
      <c r="F256" s="23" t="s">
        <v>197</v>
      </c>
      <c r="G256" s="23" t="s">
        <v>284</v>
      </c>
      <c r="J256" s="143">
        <f t="shared" ref="J256:Y256" si="232">J204 * J226 * hours_in_year</f>
        <v>6.2810066788682537E-3</v>
      </c>
      <c r="K256" s="143">
        <f t="shared" si="232"/>
        <v>6.2810066788682537E-3</v>
      </c>
      <c r="L256" s="143">
        <f t="shared" si="232"/>
        <v>6.2810066788682537E-3</v>
      </c>
      <c r="M256" s="143">
        <f t="shared" si="232"/>
        <v>6.2810066788682537E-3</v>
      </c>
      <c r="N256" s="143">
        <f t="shared" si="232"/>
        <v>6.2810066788682537E-3</v>
      </c>
      <c r="O256" s="143">
        <f t="shared" si="232"/>
        <v>6.2810066788682537E-3</v>
      </c>
      <c r="P256" s="143">
        <f t="shared" si="232"/>
        <v>6.2810066788682537E-3</v>
      </c>
      <c r="Q256" s="143">
        <f t="shared" si="232"/>
        <v>6.2810066788682537E-3</v>
      </c>
      <c r="R256" s="143">
        <f t="shared" si="232"/>
        <v>6.2810066788682537E-3</v>
      </c>
      <c r="S256" s="143">
        <f t="shared" si="232"/>
        <v>6.2810066788682537E-3</v>
      </c>
      <c r="T256" s="143">
        <f t="shared" si="232"/>
        <v>6.2810066788682537E-3</v>
      </c>
      <c r="U256" s="143">
        <f t="shared" si="232"/>
        <v>6.2810066788682537E-3</v>
      </c>
      <c r="V256" s="143">
        <f t="shared" si="232"/>
        <v>6.2810066788682537E-3</v>
      </c>
      <c r="W256" s="143">
        <f t="shared" si="232"/>
        <v>6.2810066788682537E-3</v>
      </c>
      <c r="X256" s="143">
        <f t="shared" si="232"/>
        <v>6.2810066788682537E-3</v>
      </c>
      <c r="Y256" s="143">
        <f t="shared" si="232"/>
        <v>6.2810066788682537E-3</v>
      </c>
    </row>
    <row r="257" spans="2:27" x14ac:dyDescent="0.25">
      <c r="F257" s="23" t="s">
        <v>198</v>
      </c>
      <c r="G257" s="23" t="s">
        <v>284</v>
      </c>
      <c r="J257" s="143">
        <f t="shared" ref="J257:Y257" si="233">J209 * J226 * hours_in_year</f>
        <v>6.8888362716710727E-2</v>
      </c>
      <c r="K257" s="143">
        <f t="shared" si="233"/>
        <v>6.8888362716710727E-2</v>
      </c>
      <c r="L257" s="143">
        <f t="shared" si="233"/>
        <v>6.8888362716710727E-2</v>
      </c>
      <c r="M257" s="143">
        <f t="shared" si="233"/>
        <v>6.8888362716710727E-2</v>
      </c>
      <c r="N257" s="143">
        <f t="shared" si="233"/>
        <v>6.8888362716710727E-2</v>
      </c>
      <c r="O257" s="143">
        <f t="shared" si="233"/>
        <v>6.8888362716710727E-2</v>
      </c>
      <c r="P257" s="143">
        <f t="shared" si="233"/>
        <v>6.8888362716710727E-2</v>
      </c>
      <c r="Q257" s="143">
        <f t="shared" si="233"/>
        <v>6.8888362716710727E-2</v>
      </c>
      <c r="R257" s="143">
        <f t="shared" si="233"/>
        <v>6.8888362716710727E-2</v>
      </c>
      <c r="S257" s="143">
        <f t="shared" si="233"/>
        <v>6.8888362716710727E-2</v>
      </c>
      <c r="T257" s="143">
        <f t="shared" si="233"/>
        <v>6.8888362716710727E-2</v>
      </c>
      <c r="U257" s="143">
        <f t="shared" si="233"/>
        <v>6.8888362716710727E-2</v>
      </c>
      <c r="V257" s="143">
        <f t="shared" si="233"/>
        <v>6.8888362716710727E-2</v>
      </c>
      <c r="W257" s="143">
        <f t="shared" si="233"/>
        <v>6.8888362716710727E-2</v>
      </c>
      <c r="X257" s="143">
        <f t="shared" si="233"/>
        <v>6.8888362716710727E-2</v>
      </c>
      <c r="Y257" s="143">
        <f t="shared" si="233"/>
        <v>6.8888362716710727E-2</v>
      </c>
    </row>
    <row r="258" spans="2:27" x14ac:dyDescent="0.25">
      <c r="F258" s="23" t="s">
        <v>199</v>
      </c>
      <c r="G258" s="23" t="s">
        <v>284</v>
      </c>
      <c r="J258" s="143">
        <f t="shared" ref="J258:Y258" si="234">J214 * J226 * hours_in_year</f>
        <v>6.8888362716710727E-2</v>
      </c>
      <c r="K258" s="143">
        <f t="shared" si="234"/>
        <v>6.8888362716710727E-2</v>
      </c>
      <c r="L258" s="143">
        <f t="shared" si="234"/>
        <v>6.8888362716710727E-2</v>
      </c>
      <c r="M258" s="143">
        <f t="shared" si="234"/>
        <v>6.8888362716710727E-2</v>
      </c>
      <c r="N258" s="143">
        <f t="shared" si="234"/>
        <v>6.8888362716710727E-2</v>
      </c>
      <c r="O258" s="143">
        <f t="shared" si="234"/>
        <v>6.8888362716710727E-2</v>
      </c>
      <c r="P258" s="143">
        <f t="shared" si="234"/>
        <v>6.8888362716710727E-2</v>
      </c>
      <c r="Q258" s="143">
        <f t="shared" si="234"/>
        <v>6.8888362716710727E-2</v>
      </c>
      <c r="R258" s="143">
        <f t="shared" si="234"/>
        <v>6.8888362716710727E-2</v>
      </c>
      <c r="S258" s="143">
        <f t="shared" si="234"/>
        <v>6.8888362716710727E-2</v>
      </c>
      <c r="T258" s="143">
        <f t="shared" si="234"/>
        <v>6.8888362716710727E-2</v>
      </c>
      <c r="U258" s="143">
        <f t="shared" si="234"/>
        <v>6.8888362716710727E-2</v>
      </c>
      <c r="V258" s="143">
        <f t="shared" si="234"/>
        <v>6.8888362716710727E-2</v>
      </c>
      <c r="W258" s="143">
        <f t="shared" si="234"/>
        <v>6.8888362716710727E-2</v>
      </c>
      <c r="X258" s="143">
        <f t="shared" si="234"/>
        <v>6.8888362716710727E-2</v>
      </c>
      <c r="Y258" s="143">
        <f t="shared" si="234"/>
        <v>6.8888362716710727E-2</v>
      </c>
    </row>
    <row r="259" spans="2:27" x14ac:dyDescent="0.25">
      <c r="F259" s="57" t="s">
        <v>200</v>
      </c>
      <c r="G259" s="57" t="s">
        <v>284</v>
      </c>
      <c r="H259" s="28"/>
      <c r="I259" s="28"/>
      <c r="J259" s="143">
        <f t="shared" ref="J259:Y259" si="235">J219 * J226 * hours_in_year</f>
        <v>6.8888362716710727E-2</v>
      </c>
      <c r="K259" s="143">
        <f t="shared" si="235"/>
        <v>6.8888362716710727E-2</v>
      </c>
      <c r="L259" s="143">
        <f t="shared" si="235"/>
        <v>6.8888362716710727E-2</v>
      </c>
      <c r="M259" s="143">
        <f t="shared" si="235"/>
        <v>6.8888362716710727E-2</v>
      </c>
      <c r="N259" s="143">
        <f t="shared" si="235"/>
        <v>6.8888362716710727E-2</v>
      </c>
      <c r="O259" s="143">
        <f t="shared" si="235"/>
        <v>6.8888362716710727E-2</v>
      </c>
      <c r="P259" s="143">
        <f t="shared" si="235"/>
        <v>6.8888362716710727E-2</v>
      </c>
      <c r="Q259" s="143">
        <f t="shared" si="235"/>
        <v>6.8888362716710727E-2</v>
      </c>
      <c r="R259" s="143">
        <f t="shared" si="235"/>
        <v>6.8888362716710727E-2</v>
      </c>
      <c r="S259" s="143">
        <f t="shared" si="235"/>
        <v>6.8888362716710727E-2</v>
      </c>
      <c r="T259" s="143">
        <f t="shared" si="235"/>
        <v>6.8888362716710727E-2</v>
      </c>
      <c r="U259" s="143">
        <f t="shared" si="235"/>
        <v>6.8888362716710727E-2</v>
      </c>
      <c r="V259" s="143">
        <f t="shared" si="235"/>
        <v>6.8888362716710727E-2</v>
      </c>
      <c r="W259" s="143">
        <f t="shared" si="235"/>
        <v>6.8888362716710727E-2</v>
      </c>
      <c r="X259" s="143">
        <f t="shared" si="235"/>
        <v>6.8888362716710727E-2</v>
      </c>
      <c r="Y259" s="143">
        <f t="shared" si="235"/>
        <v>6.8888362716710727E-2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284</v>
      </c>
      <c r="J267" s="111">
        <f>J91</f>
        <v>2.0135923630553552</v>
      </c>
      <c r="K267" s="111">
        <f t="shared" ref="K267:Y267" si="236">K91</f>
        <v>2.0135923630553552</v>
      </c>
      <c r="L267" s="111">
        <f t="shared" si="236"/>
        <v>1.6514964196663435</v>
      </c>
      <c r="M267" s="111">
        <f t="shared" si="236"/>
        <v>1.6514964196663435</v>
      </c>
      <c r="N267" s="111">
        <f t="shared" si="236"/>
        <v>1.4133240824041486</v>
      </c>
      <c r="O267" s="111">
        <f t="shared" si="236"/>
        <v>1.2856067709932435</v>
      </c>
      <c r="P267" s="111">
        <f t="shared" si="236"/>
        <v>1.1272101030117991</v>
      </c>
      <c r="Q267" s="111">
        <f t="shared" si="236"/>
        <v>1.8724309843310629</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157</v>
      </c>
      <c r="G271" s="23"/>
      <c r="J271" s="79"/>
      <c r="K271" s="79"/>
      <c r="L271" s="79"/>
      <c r="M271" s="79"/>
      <c r="N271" s="79"/>
      <c r="O271" s="79"/>
      <c r="P271" s="79"/>
      <c r="Q271" s="79"/>
      <c r="R271" s="79"/>
      <c r="S271" s="79"/>
      <c r="T271" s="79"/>
      <c r="U271" s="79"/>
      <c r="V271" s="79"/>
      <c r="W271" s="79"/>
      <c r="X271" s="79"/>
      <c r="Y271" s="79"/>
    </row>
    <row r="272" spans="2:27" x14ac:dyDescent="0.25">
      <c r="F272" s="54" t="s">
        <v>192</v>
      </c>
      <c r="G272" s="54" t="s">
        <v>284</v>
      </c>
      <c r="H272" s="19"/>
      <c r="I272" s="19"/>
      <c r="J272" s="91">
        <f>J229 * J$93</f>
        <v>23.174181312798076</v>
      </c>
      <c r="K272" s="91">
        <f t="shared" ref="K272:Y272" si="237">K229 * K$93</f>
        <v>23.174181312798076</v>
      </c>
      <c r="L272" s="91">
        <f t="shared" si="237"/>
        <v>24.842749586009145</v>
      </c>
      <c r="M272" s="91">
        <f t="shared" si="237"/>
        <v>24.842749586009145</v>
      </c>
      <c r="N272" s="91">
        <f t="shared" si="237"/>
        <v>19.553224817591001</v>
      </c>
      <c r="O272" s="91">
        <f t="shared" si="237"/>
        <v>18.958083929242086</v>
      </c>
      <c r="P272" s="91">
        <f t="shared" si="237"/>
        <v>16.91427412021844</v>
      </c>
      <c r="Q272" s="91">
        <f t="shared" si="237"/>
        <v>56.426648751638652</v>
      </c>
      <c r="R272" s="91">
        <f t="shared" si="237"/>
        <v>15.892024737261689</v>
      </c>
      <c r="S272" s="91">
        <f t="shared" si="237"/>
        <v>15.892024737261689</v>
      </c>
      <c r="T272" s="91">
        <f t="shared" si="237"/>
        <v>15.892024737261689</v>
      </c>
      <c r="U272" s="91">
        <f t="shared" si="237"/>
        <v>15.892024737261689</v>
      </c>
      <c r="V272" s="91">
        <f t="shared" si="237"/>
        <v>15.892024737261689</v>
      </c>
      <c r="W272" s="91">
        <f t="shared" si="237"/>
        <v>15.892024737261689</v>
      </c>
      <c r="X272" s="91">
        <f t="shared" si="237"/>
        <v>15.892024737261689</v>
      </c>
      <c r="Y272" s="91">
        <f t="shared" si="237"/>
        <v>15.892024737261689</v>
      </c>
    </row>
    <row r="273" spans="5:25" x14ac:dyDescent="0.25">
      <c r="F273" s="23" t="s">
        <v>193</v>
      </c>
      <c r="G273" s="23" t="s">
        <v>284</v>
      </c>
      <c r="J273" s="111">
        <f t="shared" ref="J273:Y273" si="238">J230 * J$93</f>
        <v>21.28464446610484</v>
      </c>
      <c r="K273" s="111">
        <f t="shared" si="238"/>
        <v>21.28464446610484</v>
      </c>
      <c r="L273" s="111">
        <f t="shared" si="238"/>
        <v>22.81716386704294</v>
      </c>
      <c r="M273" s="111">
        <f t="shared" si="238"/>
        <v>22.81716386704294</v>
      </c>
      <c r="N273" s="111">
        <f t="shared" si="238"/>
        <v>17.958927342059003</v>
      </c>
      <c r="O273" s="111">
        <f t="shared" si="238"/>
        <v>17.412312035793455</v>
      </c>
      <c r="P273" s="111">
        <f t="shared" si="238"/>
        <v>15.535146903000529</v>
      </c>
      <c r="Q273" s="111">
        <f t="shared" si="238"/>
        <v>48.298764420505449</v>
      </c>
      <c r="R273" s="111">
        <f t="shared" si="238"/>
        <v>14.596247945654692</v>
      </c>
      <c r="S273" s="111">
        <f t="shared" si="238"/>
        <v>14.596247945654692</v>
      </c>
      <c r="T273" s="111">
        <f t="shared" si="238"/>
        <v>14.596247945654692</v>
      </c>
      <c r="U273" s="111">
        <f t="shared" si="238"/>
        <v>14.596247945654692</v>
      </c>
      <c r="V273" s="111">
        <f t="shared" si="238"/>
        <v>14.596247945654692</v>
      </c>
      <c r="W273" s="111">
        <f t="shared" si="238"/>
        <v>14.596247945654692</v>
      </c>
      <c r="X273" s="111">
        <f t="shared" si="238"/>
        <v>14.596247945654692</v>
      </c>
      <c r="Y273" s="111">
        <f t="shared" si="238"/>
        <v>14.596247945654692</v>
      </c>
    </row>
    <row r="274" spans="5:25" x14ac:dyDescent="0.25">
      <c r="F274" s="23" t="s">
        <v>194</v>
      </c>
      <c r="G274" s="23" t="s">
        <v>284</v>
      </c>
      <c r="J274" s="111">
        <f t="shared" ref="J274:Y274" si="239">J231 * J$93</f>
        <v>21.28464446610484</v>
      </c>
      <c r="K274" s="111">
        <f t="shared" si="239"/>
        <v>21.28464446610484</v>
      </c>
      <c r="L274" s="111">
        <f t="shared" si="239"/>
        <v>22.81716386704294</v>
      </c>
      <c r="M274" s="111">
        <f t="shared" si="239"/>
        <v>22.81716386704294</v>
      </c>
      <c r="N274" s="111">
        <f t="shared" si="239"/>
        <v>17.958927342059003</v>
      </c>
      <c r="O274" s="111">
        <f t="shared" si="239"/>
        <v>17.412312035793455</v>
      </c>
      <c r="P274" s="111">
        <f t="shared" si="239"/>
        <v>15.535146903000529</v>
      </c>
      <c r="Q274" s="111">
        <f t="shared" si="239"/>
        <v>48.298764420505449</v>
      </c>
      <c r="R274" s="111">
        <f t="shared" si="239"/>
        <v>14.596247945654692</v>
      </c>
      <c r="S274" s="111">
        <f t="shared" si="239"/>
        <v>14.596247945654692</v>
      </c>
      <c r="T274" s="111">
        <f t="shared" si="239"/>
        <v>14.596247945654692</v>
      </c>
      <c r="U274" s="111">
        <f t="shared" si="239"/>
        <v>14.596247945654692</v>
      </c>
      <c r="V274" s="111">
        <f t="shared" si="239"/>
        <v>14.596247945654692</v>
      </c>
      <c r="W274" s="111">
        <f t="shared" si="239"/>
        <v>14.596247945654692</v>
      </c>
      <c r="X274" s="111">
        <f t="shared" si="239"/>
        <v>14.596247945654692</v>
      </c>
      <c r="Y274" s="111">
        <f t="shared" si="239"/>
        <v>14.596247945654692</v>
      </c>
    </row>
    <row r="275" spans="5:25" x14ac:dyDescent="0.25">
      <c r="F275" s="23" t="s">
        <v>195</v>
      </c>
      <c r="G275" s="23" t="s">
        <v>284</v>
      </c>
      <c r="J275" s="111">
        <f t="shared" ref="J275:Y275" si="240">J232 * J$93</f>
        <v>15.59265842543903</v>
      </c>
      <c r="K275" s="111">
        <f t="shared" si="240"/>
        <v>15.59265842543903</v>
      </c>
      <c r="L275" s="111">
        <f t="shared" si="240"/>
        <v>16.715348146060858</v>
      </c>
      <c r="M275" s="111">
        <f t="shared" si="240"/>
        <v>16.715348146060858</v>
      </c>
      <c r="N275" s="111">
        <f t="shared" si="240"/>
        <v>13.156311827427466</v>
      </c>
      <c r="O275" s="111">
        <f t="shared" si="240"/>
        <v>12.755873578421786</v>
      </c>
      <c r="P275" s="111">
        <f t="shared" si="240"/>
        <v>11.380704039160955</v>
      </c>
      <c r="Q275" s="111">
        <f t="shared" si="240"/>
        <v>33.136065754960512</v>
      </c>
      <c r="R275" s="111">
        <f t="shared" si="240"/>
        <v>10.692887488538833</v>
      </c>
      <c r="S275" s="111">
        <f t="shared" si="240"/>
        <v>10.692887488538833</v>
      </c>
      <c r="T275" s="111">
        <f t="shared" si="240"/>
        <v>10.692887488538833</v>
      </c>
      <c r="U275" s="111">
        <f t="shared" si="240"/>
        <v>10.692887488538833</v>
      </c>
      <c r="V275" s="111">
        <f t="shared" si="240"/>
        <v>10.692887488538833</v>
      </c>
      <c r="W275" s="111">
        <f t="shared" si="240"/>
        <v>10.692887488538833</v>
      </c>
      <c r="X275" s="111">
        <f t="shared" si="240"/>
        <v>10.692887488538833</v>
      </c>
      <c r="Y275" s="111">
        <f t="shared" si="240"/>
        <v>10.692887488538833</v>
      </c>
    </row>
    <row r="276" spans="5:25" x14ac:dyDescent="0.25">
      <c r="F276" s="23" t="s">
        <v>196</v>
      </c>
      <c r="G276" s="23" t="s">
        <v>284</v>
      </c>
      <c r="J276" s="111">
        <f t="shared" ref="J276:Y276" si="241">J233 * J$93</f>
        <v>15.59265842543903</v>
      </c>
      <c r="K276" s="111">
        <f t="shared" si="241"/>
        <v>15.59265842543903</v>
      </c>
      <c r="L276" s="111">
        <f t="shared" si="241"/>
        <v>16.715348146060858</v>
      </c>
      <c r="M276" s="111">
        <f t="shared" si="241"/>
        <v>16.715348146060858</v>
      </c>
      <c r="N276" s="111">
        <f t="shared" si="241"/>
        <v>13.156311827427466</v>
      </c>
      <c r="O276" s="111">
        <f t="shared" si="241"/>
        <v>12.755873578421786</v>
      </c>
      <c r="P276" s="111">
        <f t="shared" si="241"/>
        <v>11.380704039160955</v>
      </c>
      <c r="Q276" s="111">
        <f t="shared" si="241"/>
        <v>33.136065754960512</v>
      </c>
      <c r="R276" s="111">
        <f t="shared" si="241"/>
        <v>10.692887488538833</v>
      </c>
      <c r="S276" s="111">
        <f t="shared" si="241"/>
        <v>10.692887488538833</v>
      </c>
      <c r="T276" s="111">
        <f t="shared" si="241"/>
        <v>10.692887488538833</v>
      </c>
      <c r="U276" s="111">
        <f t="shared" si="241"/>
        <v>10.692887488538833</v>
      </c>
      <c r="V276" s="111">
        <f t="shared" si="241"/>
        <v>10.692887488538833</v>
      </c>
      <c r="W276" s="111">
        <f t="shared" si="241"/>
        <v>10.692887488538833</v>
      </c>
      <c r="X276" s="111">
        <f t="shared" si="241"/>
        <v>10.692887488538833</v>
      </c>
      <c r="Y276" s="111">
        <f t="shared" si="241"/>
        <v>10.692887488538833</v>
      </c>
    </row>
    <row r="277" spans="5:25" x14ac:dyDescent="0.25">
      <c r="F277" s="23" t="s">
        <v>197</v>
      </c>
      <c r="G277" s="23" t="s">
        <v>284</v>
      </c>
      <c r="J277" s="111">
        <f t="shared" ref="J277:Y277" si="242">J234 * J$93</f>
        <v>21.28464446610484</v>
      </c>
      <c r="K277" s="111">
        <f t="shared" si="242"/>
        <v>21.28464446610484</v>
      </c>
      <c r="L277" s="111">
        <f t="shared" si="242"/>
        <v>22.81716386704294</v>
      </c>
      <c r="M277" s="111">
        <f t="shared" si="242"/>
        <v>22.81716386704294</v>
      </c>
      <c r="N277" s="111">
        <f t="shared" si="242"/>
        <v>17.958927342059003</v>
      </c>
      <c r="O277" s="111">
        <f t="shared" si="242"/>
        <v>17.412312035793455</v>
      </c>
      <c r="P277" s="111">
        <f t="shared" si="242"/>
        <v>15.535146903000529</v>
      </c>
      <c r="Q277" s="111">
        <f t="shared" si="242"/>
        <v>48.298764420505449</v>
      </c>
      <c r="R277" s="111">
        <f t="shared" si="242"/>
        <v>14.596247945654692</v>
      </c>
      <c r="S277" s="111">
        <f t="shared" si="242"/>
        <v>14.596247945654692</v>
      </c>
      <c r="T277" s="111">
        <f t="shared" si="242"/>
        <v>14.596247945654692</v>
      </c>
      <c r="U277" s="111">
        <f t="shared" si="242"/>
        <v>14.596247945654692</v>
      </c>
      <c r="V277" s="111">
        <f t="shared" si="242"/>
        <v>14.596247945654692</v>
      </c>
      <c r="W277" s="111">
        <f t="shared" si="242"/>
        <v>14.596247945654692</v>
      </c>
      <c r="X277" s="111">
        <f t="shared" si="242"/>
        <v>14.596247945654692</v>
      </c>
      <c r="Y277" s="111">
        <f t="shared" si="242"/>
        <v>14.596247945654692</v>
      </c>
    </row>
    <row r="278" spans="5:25" x14ac:dyDescent="0.25">
      <c r="F278" s="23" t="s">
        <v>198</v>
      </c>
      <c r="G278" s="23" t="s">
        <v>284</v>
      </c>
      <c r="J278" s="111">
        <f t="shared" ref="J278:Y278" si="243">J235 * J$93</f>
        <v>15.59265842543903</v>
      </c>
      <c r="K278" s="111">
        <f t="shared" si="243"/>
        <v>15.59265842543903</v>
      </c>
      <c r="L278" s="111">
        <f t="shared" si="243"/>
        <v>16.715348146060858</v>
      </c>
      <c r="M278" s="111">
        <f t="shared" si="243"/>
        <v>16.715348146060858</v>
      </c>
      <c r="N278" s="111">
        <f t="shared" si="243"/>
        <v>13.156311827427466</v>
      </c>
      <c r="O278" s="111">
        <f t="shared" si="243"/>
        <v>12.755873578421786</v>
      </c>
      <c r="P278" s="111">
        <f t="shared" si="243"/>
        <v>11.380704039160955</v>
      </c>
      <c r="Q278" s="111">
        <f t="shared" si="243"/>
        <v>33.136065754960512</v>
      </c>
      <c r="R278" s="111">
        <f t="shared" si="243"/>
        <v>10.692887488538833</v>
      </c>
      <c r="S278" s="111">
        <f t="shared" si="243"/>
        <v>10.692887488538833</v>
      </c>
      <c r="T278" s="111">
        <f t="shared" si="243"/>
        <v>10.692887488538833</v>
      </c>
      <c r="U278" s="111">
        <f t="shared" si="243"/>
        <v>10.692887488538833</v>
      </c>
      <c r="V278" s="111">
        <f t="shared" si="243"/>
        <v>10.692887488538833</v>
      </c>
      <c r="W278" s="111">
        <f t="shared" si="243"/>
        <v>10.692887488538833</v>
      </c>
      <c r="X278" s="111">
        <f t="shared" si="243"/>
        <v>10.692887488538833</v>
      </c>
      <c r="Y278" s="111">
        <f t="shared" si="243"/>
        <v>10.692887488538833</v>
      </c>
    </row>
    <row r="279" spans="5:25" x14ac:dyDescent="0.25">
      <c r="F279" s="23" t="s">
        <v>199</v>
      </c>
      <c r="G279" s="23" t="s">
        <v>284</v>
      </c>
      <c r="J279" s="111">
        <f t="shared" ref="J279:Y279" si="244">J236 * J$93</f>
        <v>15.59265842543903</v>
      </c>
      <c r="K279" s="111">
        <f t="shared" si="244"/>
        <v>15.59265842543903</v>
      </c>
      <c r="L279" s="111">
        <f t="shared" si="244"/>
        <v>16.715348146060858</v>
      </c>
      <c r="M279" s="111">
        <f t="shared" si="244"/>
        <v>16.715348146060858</v>
      </c>
      <c r="N279" s="111">
        <f t="shared" si="244"/>
        <v>13.156311827427466</v>
      </c>
      <c r="O279" s="111">
        <f t="shared" si="244"/>
        <v>12.755873578421786</v>
      </c>
      <c r="P279" s="111">
        <f t="shared" si="244"/>
        <v>11.380704039160955</v>
      </c>
      <c r="Q279" s="111">
        <f t="shared" si="244"/>
        <v>33.136065754960512</v>
      </c>
      <c r="R279" s="111">
        <f t="shared" si="244"/>
        <v>10.692887488538833</v>
      </c>
      <c r="S279" s="111">
        <f t="shared" si="244"/>
        <v>10.692887488538833</v>
      </c>
      <c r="T279" s="111">
        <f t="shared" si="244"/>
        <v>10.692887488538833</v>
      </c>
      <c r="U279" s="111">
        <f t="shared" si="244"/>
        <v>10.692887488538833</v>
      </c>
      <c r="V279" s="111">
        <f t="shared" si="244"/>
        <v>10.692887488538833</v>
      </c>
      <c r="W279" s="111">
        <f t="shared" si="244"/>
        <v>10.692887488538833</v>
      </c>
      <c r="X279" s="111">
        <f t="shared" si="244"/>
        <v>10.692887488538833</v>
      </c>
      <c r="Y279" s="111">
        <f t="shared" si="244"/>
        <v>10.692887488538833</v>
      </c>
    </row>
    <row r="280" spans="5:25" x14ac:dyDescent="0.25">
      <c r="F280" s="57" t="s">
        <v>200</v>
      </c>
      <c r="G280" s="57" t="s">
        <v>284</v>
      </c>
      <c r="H280" s="28"/>
      <c r="I280" s="28"/>
      <c r="J280" s="121">
        <f t="shared" ref="J280:Y280" si="245">J237 * J$93</f>
        <v>15.59265842543903</v>
      </c>
      <c r="K280" s="121">
        <f t="shared" si="245"/>
        <v>15.59265842543903</v>
      </c>
      <c r="L280" s="121">
        <f t="shared" si="245"/>
        <v>16.715348146060858</v>
      </c>
      <c r="M280" s="121">
        <f t="shared" si="245"/>
        <v>16.715348146060858</v>
      </c>
      <c r="N280" s="121">
        <f t="shared" si="245"/>
        <v>13.156311827427466</v>
      </c>
      <c r="O280" s="121">
        <f t="shared" si="245"/>
        <v>12.755873578421786</v>
      </c>
      <c r="P280" s="121">
        <f t="shared" si="245"/>
        <v>11.380704039160955</v>
      </c>
      <c r="Q280" s="121">
        <f t="shared" si="245"/>
        <v>33.136065754960512</v>
      </c>
      <c r="R280" s="121">
        <f t="shared" si="245"/>
        <v>10.692887488538833</v>
      </c>
      <c r="S280" s="121">
        <f t="shared" si="245"/>
        <v>10.692887488538833</v>
      </c>
      <c r="T280" s="121">
        <f t="shared" si="245"/>
        <v>10.692887488538833</v>
      </c>
      <c r="U280" s="121">
        <f t="shared" si="245"/>
        <v>10.692887488538833</v>
      </c>
      <c r="V280" s="121">
        <f t="shared" si="245"/>
        <v>10.692887488538833</v>
      </c>
      <c r="W280" s="121">
        <f t="shared" si="245"/>
        <v>10.692887488538833</v>
      </c>
      <c r="X280" s="121">
        <f t="shared" si="245"/>
        <v>10.692887488538833</v>
      </c>
      <c r="Y280" s="121">
        <f t="shared" si="245"/>
        <v>10.692887488538833</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158</v>
      </c>
      <c r="F282" s="23"/>
      <c r="G282" s="23"/>
      <c r="J282" s="79"/>
      <c r="K282" s="79"/>
      <c r="L282" s="79"/>
      <c r="M282" s="79"/>
      <c r="N282" s="79"/>
      <c r="O282" s="79"/>
      <c r="P282" s="79"/>
      <c r="Q282" s="79"/>
      <c r="R282" s="79"/>
      <c r="S282" s="79"/>
      <c r="T282" s="79"/>
      <c r="U282" s="79"/>
      <c r="V282" s="79"/>
      <c r="W282" s="79"/>
      <c r="X282" s="79"/>
      <c r="Y282" s="79"/>
    </row>
    <row r="283" spans="5:25" x14ac:dyDescent="0.25">
      <c r="F283" s="54" t="s">
        <v>192</v>
      </c>
      <c r="G283" s="54" t="s">
        <v>284</v>
      </c>
      <c r="H283" s="19"/>
      <c r="I283" s="19"/>
      <c r="J283" s="91">
        <f>J240 * J$93</f>
        <v>0.19661638873466153</v>
      </c>
      <c r="K283" s="91">
        <f t="shared" ref="K283:Y283" si="246">K240 * K$93</f>
        <v>0.19661638873466153</v>
      </c>
      <c r="L283" s="91">
        <f t="shared" si="246"/>
        <v>0.21077299965471219</v>
      </c>
      <c r="M283" s="91">
        <f t="shared" si="246"/>
        <v>0.21077299965471219</v>
      </c>
      <c r="N283" s="91">
        <f t="shared" si="246"/>
        <v>0.16589515719498427</v>
      </c>
      <c r="O283" s="91">
        <f t="shared" si="246"/>
        <v>0.1608458115168748</v>
      </c>
      <c r="P283" s="91">
        <f t="shared" si="246"/>
        <v>0.14350554398005416</v>
      </c>
      <c r="Q283" s="91">
        <f t="shared" si="246"/>
        <v>0.23630364639837984</v>
      </c>
      <c r="R283" s="91">
        <f t="shared" si="246"/>
        <v>0.13483248755789726</v>
      </c>
      <c r="S283" s="91">
        <f t="shared" si="246"/>
        <v>0.13483248755789726</v>
      </c>
      <c r="T283" s="91">
        <f t="shared" si="246"/>
        <v>0.13483248755789726</v>
      </c>
      <c r="U283" s="91">
        <f t="shared" si="246"/>
        <v>0.13483248755789726</v>
      </c>
      <c r="V283" s="91">
        <f t="shared" si="246"/>
        <v>0.13483248755789726</v>
      </c>
      <c r="W283" s="91">
        <f t="shared" si="246"/>
        <v>0.13483248755789726</v>
      </c>
      <c r="X283" s="91">
        <f t="shared" si="246"/>
        <v>0.13483248755789726</v>
      </c>
      <c r="Y283" s="91">
        <f t="shared" si="246"/>
        <v>0.13483248755789726</v>
      </c>
    </row>
    <row r="284" spans="5:25" x14ac:dyDescent="0.25">
      <c r="F284" s="23" t="s">
        <v>193</v>
      </c>
      <c r="G284" s="23" t="s">
        <v>284</v>
      </c>
      <c r="J284" s="111">
        <f t="shared" ref="J284:Y284" si="247">J241 * J$93</f>
        <v>0.47026021699282611</v>
      </c>
      <c r="K284" s="111">
        <f t="shared" si="247"/>
        <v>0.47026021699282611</v>
      </c>
      <c r="L284" s="111">
        <f t="shared" si="247"/>
        <v>0.50411950494938707</v>
      </c>
      <c r="M284" s="111">
        <f t="shared" si="247"/>
        <v>0.50411950494938707</v>
      </c>
      <c r="N284" s="111">
        <f t="shared" si="247"/>
        <v>0.3967822475157648</v>
      </c>
      <c r="O284" s="111">
        <f t="shared" si="247"/>
        <v>0.38470539873657172</v>
      </c>
      <c r="P284" s="111">
        <f t="shared" si="247"/>
        <v>0.34323155198830529</v>
      </c>
      <c r="Q284" s="111">
        <f t="shared" si="247"/>
        <v>0.55168352863262304</v>
      </c>
      <c r="R284" s="111">
        <f t="shared" si="247"/>
        <v>0.3224876383129367</v>
      </c>
      <c r="S284" s="111">
        <f t="shared" si="247"/>
        <v>0.3224876383129367</v>
      </c>
      <c r="T284" s="111">
        <f t="shared" si="247"/>
        <v>0.3224876383129367</v>
      </c>
      <c r="U284" s="111">
        <f t="shared" si="247"/>
        <v>0.3224876383129367</v>
      </c>
      <c r="V284" s="111">
        <f t="shared" si="247"/>
        <v>0.3224876383129367</v>
      </c>
      <c r="W284" s="111">
        <f t="shared" si="247"/>
        <v>0.3224876383129367</v>
      </c>
      <c r="X284" s="111">
        <f t="shared" si="247"/>
        <v>0.3224876383129367</v>
      </c>
      <c r="Y284" s="111">
        <f t="shared" si="247"/>
        <v>0.3224876383129367</v>
      </c>
    </row>
    <row r="285" spans="5:25" x14ac:dyDescent="0.25">
      <c r="F285" s="23" t="s">
        <v>194</v>
      </c>
      <c r="G285" s="23" t="s">
        <v>284</v>
      </c>
      <c r="J285" s="111">
        <f t="shared" ref="J285:Y285" si="248">J242 * J$93</f>
        <v>0.47026021699282611</v>
      </c>
      <c r="K285" s="111">
        <f t="shared" si="248"/>
        <v>0.47026021699282611</v>
      </c>
      <c r="L285" s="111">
        <f t="shared" si="248"/>
        <v>0.50411950494938707</v>
      </c>
      <c r="M285" s="111">
        <f t="shared" si="248"/>
        <v>0.50411950494938707</v>
      </c>
      <c r="N285" s="111">
        <f t="shared" si="248"/>
        <v>0.3967822475157648</v>
      </c>
      <c r="O285" s="111">
        <f t="shared" si="248"/>
        <v>0.38470539873657172</v>
      </c>
      <c r="P285" s="111">
        <f t="shared" si="248"/>
        <v>0.34323155198830529</v>
      </c>
      <c r="Q285" s="111">
        <f t="shared" si="248"/>
        <v>0.55168352863262304</v>
      </c>
      <c r="R285" s="111">
        <f t="shared" si="248"/>
        <v>0.3224876383129367</v>
      </c>
      <c r="S285" s="111">
        <f t="shared" si="248"/>
        <v>0.3224876383129367</v>
      </c>
      <c r="T285" s="111">
        <f t="shared" si="248"/>
        <v>0.3224876383129367</v>
      </c>
      <c r="U285" s="111">
        <f t="shared" si="248"/>
        <v>0.3224876383129367</v>
      </c>
      <c r="V285" s="111">
        <f t="shared" si="248"/>
        <v>0.3224876383129367</v>
      </c>
      <c r="W285" s="111">
        <f t="shared" si="248"/>
        <v>0.3224876383129367</v>
      </c>
      <c r="X285" s="111">
        <f t="shared" si="248"/>
        <v>0.3224876383129367</v>
      </c>
      <c r="Y285" s="111">
        <f t="shared" si="248"/>
        <v>0.3224876383129367</v>
      </c>
    </row>
    <row r="286" spans="5:25" x14ac:dyDescent="0.25">
      <c r="F286" s="23" t="s">
        <v>195</v>
      </c>
      <c r="G286" s="23" t="s">
        <v>284</v>
      </c>
      <c r="J286" s="111">
        <f t="shared" ref="J286:Y286" si="249">J243 * J$93</f>
        <v>1.2059004367983037</v>
      </c>
      <c r="K286" s="111">
        <f t="shared" si="249"/>
        <v>1.2059004367983037</v>
      </c>
      <c r="L286" s="111">
        <f t="shared" si="249"/>
        <v>1.2927266846097771</v>
      </c>
      <c r="M286" s="111">
        <f t="shared" si="249"/>
        <v>1.2927266846097771</v>
      </c>
      <c r="N286" s="111">
        <f t="shared" si="249"/>
        <v>1.0174789793038621</v>
      </c>
      <c r="O286" s="111">
        <f t="shared" si="249"/>
        <v>0.98651000363523111</v>
      </c>
      <c r="P286" s="111">
        <f t="shared" si="249"/>
        <v>0.88015754577847105</v>
      </c>
      <c r="Q286" s="111">
        <f t="shared" si="249"/>
        <v>1.0708199161042518</v>
      </c>
      <c r="R286" s="111">
        <f t="shared" si="249"/>
        <v>0.82696339143984254</v>
      </c>
      <c r="S286" s="111">
        <f t="shared" si="249"/>
        <v>0.82696339143984254</v>
      </c>
      <c r="T286" s="111">
        <f t="shared" si="249"/>
        <v>0.82696339143984254</v>
      </c>
      <c r="U286" s="111">
        <f t="shared" si="249"/>
        <v>0.82696339143984254</v>
      </c>
      <c r="V286" s="111">
        <f t="shared" si="249"/>
        <v>0.82696339143984254</v>
      </c>
      <c r="W286" s="111">
        <f t="shared" si="249"/>
        <v>0.82696339143984254</v>
      </c>
      <c r="X286" s="111">
        <f t="shared" si="249"/>
        <v>0.82696339143984254</v>
      </c>
      <c r="Y286" s="111">
        <f t="shared" si="249"/>
        <v>0.82696339143984254</v>
      </c>
    </row>
    <row r="287" spans="5:25" x14ac:dyDescent="0.25">
      <c r="F287" s="23" t="s">
        <v>196</v>
      </c>
      <c r="G287" s="23" t="s">
        <v>284</v>
      </c>
      <c r="J287" s="111">
        <f t="shared" ref="J287:Y287" si="250">J244 * J$93</f>
        <v>1.2059004367983037</v>
      </c>
      <c r="K287" s="111">
        <f t="shared" si="250"/>
        <v>1.2059004367983037</v>
      </c>
      <c r="L287" s="111">
        <f t="shared" si="250"/>
        <v>1.2927266846097771</v>
      </c>
      <c r="M287" s="111">
        <f t="shared" si="250"/>
        <v>1.2927266846097771</v>
      </c>
      <c r="N287" s="111">
        <f t="shared" si="250"/>
        <v>1.0174789793038621</v>
      </c>
      <c r="O287" s="111">
        <f t="shared" si="250"/>
        <v>0.98651000363523111</v>
      </c>
      <c r="P287" s="111">
        <f t="shared" si="250"/>
        <v>0.88015754577847105</v>
      </c>
      <c r="Q287" s="111">
        <f t="shared" si="250"/>
        <v>1.0708199161042518</v>
      </c>
      <c r="R287" s="111">
        <f t="shared" si="250"/>
        <v>0.82696339143984254</v>
      </c>
      <c r="S287" s="111">
        <f t="shared" si="250"/>
        <v>0.82696339143984254</v>
      </c>
      <c r="T287" s="111">
        <f t="shared" si="250"/>
        <v>0.82696339143984254</v>
      </c>
      <c r="U287" s="111">
        <f t="shared" si="250"/>
        <v>0.82696339143984254</v>
      </c>
      <c r="V287" s="111">
        <f t="shared" si="250"/>
        <v>0.82696339143984254</v>
      </c>
      <c r="W287" s="111">
        <f t="shared" si="250"/>
        <v>0.82696339143984254</v>
      </c>
      <c r="X287" s="111">
        <f t="shared" si="250"/>
        <v>0.82696339143984254</v>
      </c>
      <c r="Y287" s="111">
        <f t="shared" si="250"/>
        <v>0.82696339143984254</v>
      </c>
    </row>
    <row r="288" spans="5:25" x14ac:dyDescent="0.25">
      <c r="F288" s="23" t="s">
        <v>197</v>
      </c>
      <c r="G288" s="23" t="s">
        <v>284</v>
      </c>
      <c r="J288" s="111">
        <f t="shared" ref="J288:Y288" si="251">J245 * J$93</f>
        <v>0.47026021699282611</v>
      </c>
      <c r="K288" s="111">
        <f t="shared" si="251"/>
        <v>0.47026021699282611</v>
      </c>
      <c r="L288" s="111">
        <f t="shared" si="251"/>
        <v>0.50411950494938707</v>
      </c>
      <c r="M288" s="111">
        <f t="shared" si="251"/>
        <v>0.50411950494938707</v>
      </c>
      <c r="N288" s="111">
        <f t="shared" si="251"/>
        <v>0.3967822475157648</v>
      </c>
      <c r="O288" s="111">
        <f t="shared" si="251"/>
        <v>0.38470539873657172</v>
      </c>
      <c r="P288" s="111">
        <f t="shared" si="251"/>
        <v>0.34323155198830529</v>
      </c>
      <c r="Q288" s="111">
        <f t="shared" si="251"/>
        <v>0.55168352863262304</v>
      </c>
      <c r="R288" s="111">
        <f t="shared" si="251"/>
        <v>0.3224876383129367</v>
      </c>
      <c r="S288" s="111">
        <f t="shared" si="251"/>
        <v>0.3224876383129367</v>
      </c>
      <c r="T288" s="111">
        <f t="shared" si="251"/>
        <v>0.3224876383129367</v>
      </c>
      <c r="U288" s="111">
        <f t="shared" si="251"/>
        <v>0.3224876383129367</v>
      </c>
      <c r="V288" s="111">
        <f t="shared" si="251"/>
        <v>0.3224876383129367</v>
      </c>
      <c r="W288" s="111">
        <f t="shared" si="251"/>
        <v>0.3224876383129367</v>
      </c>
      <c r="X288" s="111">
        <f t="shared" si="251"/>
        <v>0.3224876383129367</v>
      </c>
      <c r="Y288" s="111">
        <f t="shared" si="251"/>
        <v>0.3224876383129367</v>
      </c>
    </row>
    <row r="289" spans="2:27" x14ac:dyDescent="0.25">
      <c r="F289" s="23" t="s">
        <v>198</v>
      </c>
      <c r="G289" s="23" t="s">
        <v>284</v>
      </c>
      <c r="J289" s="111">
        <f t="shared" ref="J289:Y289" si="252">J246 * J$93</f>
        <v>1.2059004367983037</v>
      </c>
      <c r="K289" s="111">
        <f t="shared" si="252"/>
        <v>1.2059004367983037</v>
      </c>
      <c r="L289" s="111">
        <f t="shared" si="252"/>
        <v>1.2927266846097771</v>
      </c>
      <c r="M289" s="111">
        <f t="shared" si="252"/>
        <v>1.2927266846097771</v>
      </c>
      <c r="N289" s="111">
        <f t="shared" si="252"/>
        <v>1.0174789793038621</v>
      </c>
      <c r="O289" s="111">
        <f t="shared" si="252"/>
        <v>0.98651000363523111</v>
      </c>
      <c r="P289" s="111">
        <f t="shared" si="252"/>
        <v>0.88015754577847105</v>
      </c>
      <c r="Q289" s="111">
        <f t="shared" si="252"/>
        <v>1.0708199161042518</v>
      </c>
      <c r="R289" s="111">
        <f t="shared" si="252"/>
        <v>0.82696339143984254</v>
      </c>
      <c r="S289" s="111">
        <f t="shared" si="252"/>
        <v>0.82696339143984254</v>
      </c>
      <c r="T289" s="111">
        <f t="shared" si="252"/>
        <v>0.82696339143984254</v>
      </c>
      <c r="U289" s="111">
        <f t="shared" si="252"/>
        <v>0.82696339143984254</v>
      </c>
      <c r="V289" s="111">
        <f t="shared" si="252"/>
        <v>0.82696339143984254</v>
      </c>
      <c r="W289" s="111">
        <f t="shared" si="252"/>
        <v>0.82696339143984254</v>
      </c>
      <c r="X289" s="111">
        <f t="shared" si="252"/>
        <v>0.82696339143984254</v>
      </c>
      <c r="Y289" s="111">
        <f t="shared" si="252"/>
        <v>0.82696339143984254</v>
      </c>
    </row>
    <row r="290" spans="2:27" x14ac:dyDescent="0.25">
      <c r="F290" s="23" t="s">
        <v>199</v>
      </c>
      <c r="G290" s="23" t="s">
        <v>284</v>
      </c>
      <c r="J290" s="111">
        <f t="shared" ref="J290:Y290" si="253">J247 * J$93</f>
        <v>1.2059004367983037</v>
      </c>
      <c r="K290" s="111">
        <f t="shared" si="253"/>
        <v>1.2059004367983037</v>
      </c>
      <c r="L290" s="111">
        <f t="shared" si="253"/>
        <v>1.2927266846097771</v>
      </c>
      <c r="M290" s="111">
        <f t="shared" si="253"/>
        <v>1.2927266846097771</v>
      </c>
      <c r="N290" s="111">
        <f t="shared" si="253"/>
        <v>1.0174789793038621</v>
      </c>
      <c r="O290" s="111">
        <f t="shared" si="253"/>
        <v>0.98651000363523111</v>
      </c>
      <c r="P290" s="111">
        <f t="shared" si="253"/>
        <v>0.88015754577847105</v>
      </c>
      <c r="Q290" s="111">
        <f t="shared" si="253"/>
        <v>1.0708199161042518</v>
      </c>
      <c r="R290" s="111">
        <f t="shared" si="253"/>
        <v>0.82696339143984254</v>
      </c>
      <c r="S290" s="111">
        <f t="shared" si="253"/>
        <v>0.82696339143984254</v>
      </c>
      <c r="T290" s="111">
        <f t="shared" si="253"/>
        <v>0.82696339143984254</v>
      </c>
      <c r="U290" s="111">
        <f t="shared" si="253"/>
        <v>0.82696339143984254</v>
      </c>
      <c r="V290" s="111">
        <f t="shared" si="253"/>
        <v>0.82696339143984254</v>
      </c>
      <c r="W290" s="111">
        <f t="shared" si="253"/>
        <v>0.82696339143984254</v>
      </c>
      <c r="X290" s="111">
        <f t="shared" si="253"/>
        <v>0.82696339143984254</v>
      </c>
      <c r="Y290" s="111">
        <f t="shared" si="253"/>
        <v>0.82696339143984254</v>
      </c>
    </row>
    <row r="291" spans="2:27" x14ac:dyDescent="0.25">
      <c r="F291" s="57" t="s">
        <v>200</v>
      </c>
      <c r="G291" s="57" t="s">
        <v>284</v>
      </c>
      <c r="H291" s="28"/>
      <c r="I291" s="28"/>
      <c r="J291" s="121">
        <f t="shared" ref="J291:Y291" si="254">J248 * J$93</f>
        <v>1.2059004367983037</v>
      </c>
      <c r="K291" s="121">
        <f t="shared" si="254"/>
        <v>1.2059004367983037</v>
      </c>
      <c r="L291" s="121">
        <f t="shared" si="254"/>
        <v>1.2927266846097771</v>
      </c>
      <c r="M291" s="121">
        <f t="shared" si="254"/>
        <v>1.2927266846097771</v>
      </c>
      <c r="N291" s="121">
        <f t="shared" si="254"/>
        <v>1.0174789793038621</v>
      </c>
      <c r="O291" s="121">
        <f t="shared" si="254"/>
        <v>0.98651000363523111</v>
      </c>
      <c r="P291" s="121">
        <f t="shared" si="254"/>
        <v>0.88015754577847105</v>
      </c>
      <c r="Q291" s="121">
        <f t="shared" si="254"/>
        <v>1.0708199161042518</v>
      </c>
      <c r="R291" s="121">
        <f t="shared" si="254"/>
        <v>0.82696339143984254</v>
      </c>
      <c r="S291" s="121">
        <f t="shared" si="254"/>
        <v>0.82696339143984254</v>
      </c>
      <c r="T291" s="121">
        <f t="shared" si="254"/>
        <v>0.82696339143984254</v>
      </c>
      <c r="U291" s="121">
        <f t="shared" si="254"/>
        <v>0.82696339143984254</v>
      </c>
      <c r="V291" s="121">
        <f t="shared" si="254"/>
        <v>0.82696339143984254</v>
      </c>
      <c r="W291" s="121">
        <f t="shared" si="254"/>
        <v>0.82696339143984254</v>
      </c>
      <c r="X291" s="121">
        <f t="shared" si="254"/>
        <v>0.82696339143984254</v>
      </c>
      <c r="Y291" s="121">
        <f t="shared" si="254"/>
        <v>0.82696339143984254</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159</v>
      </c>
      <c r="F293" s="23"/>
      <c r="G293" s="23"/>
      <c r="J293" s="79"/>
      <c r="K293" s="79"/>
      <c r="L293" s="79"/>
      <c r="M293" s="79"/>
      <c r="N293" s="79"/>
      <c r="O293" s="79"/>
      <c r="P293" s="79"/>
      <c r="Q293" s="79"/>
      <c r="R293" s="79"/>
      <c r="S293" s="79"/>
      <c r="T293" s="79"/>
      <c r="U293" s="79"/>
      <c r="V293" s="79"/>
      <c r="W293" s="79"/>
      <c r="X293" s="79"/>
      <c r="Y293" s="79"/>
    </row>
    <row r="294" spans="2:27" x14ac:dyDescent="0.25">
      <c r="F294" s="54" t="s">
        <v>192</v>
      </c>
      <c r="G294" s="54" t="s">
        <v>284</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193</v>
      </c>
      <c r="G295" s="23" t="s">
        <v>284</v>
      </c>
      <c r="J295" s="111">
        <f t="shared" ref="J295:Y295" si="256">J252 * J$93</f>
        <v>9.1591342204309419E-3</v>
      </c>
      <c r="K295" s="111">
        <f t="shared" si="256"/>
        <v>9.1591342204309419E-3</v>
      </c>
      <c r="L295" s="111">
        <f t="shared" si="256"/>
        <v>9.818602641947647E-3</v>
      </c>
      <c r="M295" s="111">
        <f t="shared" si="256"/>
        <v>9.818602641947647E-3</v>
      </c>
      <c r="N295" s="111">
        <f t="shared" si="256"/>
        <v>7.7280231879291233E-3</v>
      </c>
      <c r="O295" s="111">
        <f t="shared" si="256"/>
        <v>7.4928055893922598E-3</v>
      </c>
      <c r="P295" s="111">
        <f t="shared" si="256"/>
        <v>6.6850304145452876E-3</v>
      </c>
      <c r="Q295" s="111">
        <f t="shared" si="256"/>
        <v>6.7959006030125823E-3</v>
      </c>
      <c r="R295" s="111">
        <f t="shared" si="256"/>
        <v>6.2810066788682537E-3</v>
      </c>
      <c r="S295" s="111">
        <f t="shared" si="256"/>
        <v>6.2810066788682537E-3</v>
      </c>
      <c r="T295" s="111">
        <f t="shared" si="256"/>
        <v>6.2810066788682537E-3</v>
      </c>
      <c r="U295" s="111">
        <f t="shared" si="256"/>
        <v>6.2810066788682537E-3</v>
      </c>
      <c r="V295" s="111">
        <f t="shared" si="256"/>
        <v>6.2810066788682537E-3</v>
      </c>
      <c r="W295" s="111">
        <f t="shared" si="256"/>
        <v>6.2810066788682537E-3</v>
      </c>
      <c r="X295" s="111">
        <f t="shared" si="256"/>
        <v>6.2810066788682537E-3</v>
      </c>
      <c r="Y295" s="111">
        <f t="shared" si="256"/>
        <v>6.2810066788682537E-3</v>
      </c>
    </row>
    <row r="296" spans="2:27" x14ac:dyDescent="0.25">
      <c r="F296" s="23" t="s">
        <v>194</v>
      </c>
      <c r="G296" s="23" t="s">
        <v>284</v>
      </c>
      <c r="J296" s="111">
        <f t="shared" ref="J296:Y296" si="257">J253 * J$93</f>
        <v>9.1591342204309419E-3</v>
      </c>
      <c r="K296" s="111">
        <f t="shared" si="257"/>
        <v>9.1591342204309419E-3</v>
      </c>
      <c r="L296" s="111">
        <f t="shared" si="257"/>
        <v>9.818602641947647E-3</v>
      </c>
      <c r="M296" s="111">
        <f t="shared" si="257"/>
        <v>9.818602641947647E-3</v>
      </c>
      <c r="N296" s="111">
        <f t="shared" si="257"/>
        <v>7.7280231879291233E-3</v>
      </c>
      <c r="O296" s="111">
        <f t="shared" si="257"/>
        <v>7.4928055893922598E-3</v>
      </c>
      <c r="P296" s="111">
        <f t="shared" si="257"/>
        <v>6.6850304145452876E-3</v>
      </c>
      <c r="Q296" s="111">
        <f t="shared" si="257"/>
        <v>6.7959006030125823E-3</v>
      </c>
      <c r="R296" s="111">
        <f t="shared" si="257"/>
        <v>6.2810066788682537E-3</v>
      </c>
      <c r="S296" s="111">
        <f t="shared" si="257"/>
        <v>6.2810066788682537E-3</v>
      </c>
      <c r="T296" s="111">
        <f t="shared" si="257"/>
        <v>6.2810066788682537E-3</v>
      </c>
      <c r="U296" s="111">
        <f t="shared" si="257"/>
        <v>6.2810066788682537E-3</v>
      </c>
      <c r="V296" s="111">
        <f t="shared" si="257"/>
        <v>6.2810066788682537E-3</v>
      </c>
      <c r="W296" s="111">
        <f t="shared" si="257"/>
        <v>6.2810066788682537E-3</v>
      </c>
      <c r="X296" s="111">
        <f t="shared" si="257"/>
        <v>6.2810066788682537E-3</v>
      </c>
      <c r="Y296" s="111">
        <f t="shared" si="257"/>
        <v>6.2810066788682537E-3</v>
      </c>
    </row>
    <row r="297" spans="2:27" x14ac:dyDescent="0.25">
      <c r="F297" s="23" t="s">
        <v>195</v>
      </c>
      <c r="G297" s="23" t="s">
        <v>284</v>
      </c>
      <c r="J297" s="111">
        <f t="shared" ref="J297:Y297" si="258">J254 * J$93</f>
        <v>0.10045487811227319</v>
      </c>
      <c r="K297" s="111">
        <f t="shared" si="258"/>
        <v>0.10045487811227319</v>
      </c>
      <c r="L297" s="111">
        <f t="shared" si="258"/>
        <v>0.10768774732327127</v>
      </c>
      <c r="M297" s="111">
        <f t="shared" si="258"/>
        <v>0.10768774732327127</v>
      </c>
      <c r="N297" s="111">
        <f t="shared" si="258"/>
        <v>8.4758843872004622E-2</v>
      </c>
      <c r="O297" s="111">
        <f t="shared" si="258"/>
        <v>8.2179041608797868E-2</v>
      </c>
      <c r="P297" s="111">
        <f t="shared" si="258"/>
        <v>7.331958450526882E-2</v>
      </c>
      <c r="Q297" s="111">
        <f t="shared" si="258"/>
        <v>7.4535578397346855E-2</v>
      </c>
      <c r="R297" s="111">
        <f t="shared" si="258"/>
        <v>6.8888362716710727E-2</v>
      </c>
      <c r="S297" s="111">
        <f t="shared" si="258"/>
        <v>6.8888362716710727E-2</v>
      </c>
      <c r="T297" s="111">
        <f t="shared" si="258"/>
        <v>6.8888362716710727E-2</v>
      </c>
      <c r="U297" s="111">
        <f t="shared" si="258"/>
        <v>6.8888362716710727E-2</v>
      </c>
      <c r="V297" s="111">
        <f t="shared" si="258"/>
        <v>6.8888362716710727E-2</v>
      </c>
      <c r="W297" s="111">
        <f t="shared" si="258"/>
        <v>6.8888362716710727E-2</v>
      </c>
      <c r="X297" s="111">
        <f t="shared" si="258"/>
        <v>6.8888362716710727E-2</v>
      </c>
      <c r="Y297" s="111">
        <f t="shared" si="258"/>
        <v>6.8888362716710727E-2</v>
      </c>
    </row>
    <row r="298" spans="2:27" x14ac:dyDescent="0.25">
      <c r="F298" s="23" t="s">
        <v>196</v>
      </c>
      <c r="G298" s="23" t="s">
        <v>284</v>
      </c>
      <c r="J298" s="111">
        <f t="shared" ref="J298:Y298" si="259">J255 * J$93</f>
        <v>0.10045487811227319</v>
      </c>
      <c r="K298" s="111">
        <f t="shared" si="259"/>
        <v>0.10045487811227319</v>
      </c>
      <c r="L298" s="111">
        <f t="shared" si="259"/>
        <v>0.10768774732327127</v>
      </c>
      <c r="M298" s="111">
        <f t="shared" si="259"/>
        <v>0.10768774732327127</v>
      </c>
      <c r="N298" s="111">
        <f t="shared" si="259"/>
        <v>8.4758843872004622E-2</v>
      </c>
      <c r="O298" s="111">
        <f t="shared" si="259"/>
        <v>8.2179041608797868E-2</v>
      </c>
      <c r="P298" s="111">
        <f t="shared" si="259"/>
        <v>7.331958450526882E-2</v>
      </c>
      <c r="Q298" s="111">
        <f t="shared" si="259"/>
        <v>7.4535578397346855E-2</v>
      </c>
      <c r="R298" s="111">
        <f t="shared" si="259"/>
        <v>6.8888362716710727E-2</v>
      </c>
      <c r="S298" s="111">
        <f t="shared" si="259"/>
        <v>6.8888362716710727E-2</v>
      </c>
      <c r="T298" s="111">
        <f t="shared" si="259"/>
        <v>6.8888362716710727E-2</v>
      </c>
      <c r="U298" s="111">
        <f t="shared" si="259"/>
        <v>6.8888362716710727E-2</v>
      </c>
      <c r="V298" s="111">
        <f t="shared" si="259"/>
        <v>6.8888362716710727E-2</v>
      </c>
      <c r="W298" s="111">
        <f t="shared" si="259"/>
        <v>6.8888362716710727E-2</v>
      </c>
      <c r="X298" s="111">
        <f t="shared" si="259"/>
        <v>6.8888362716710727E-2</v>
      </c>
      <c r="Y298" s="111">
        <f t="shared" si="259"/>
        <v>6.8888362716710727E-2</v>
      </c>
    </row>
    <row r="299" spans="2:27" x14ac:dyDescent="0.25">
      <c r="F299" s="23" t="s">
        <v>197</v>
      </c>
      <c r="G299" s="23" t="s">
        <v>284</v>
      </c>
      <c r="J299" s="111">
        <f t="shared" ref="J299:Y299" si="260">J256 * J$93</f>
        <v>9.1591342204309419E-3</v>
      </c>
      <c r="K299" s="111">
        <f t="shared" si="260"/>
        <v>9.1591342204309419E-3</v>
      </c>
      <c r="L299" s="111">
        <f t="shared" si="260"/>
        <v>9.818602641947647E-3</v>
      </c>
      <c r="M299" s="111">
        <f t="shared" si="260"/>
        <v>9.818602641947647E-3</v>
      </c>
      <c r="N299" s="111">
        <f t="shared" si="260"/>
        <v>7.7280231879291233E-3</v>
      </c>
      <c r="O299" s="111">
        <f t="shared" si="260"/>
        <v>7.4928055893922598E-3</v>
      </c>
      <c r="P299" s="111">
        <f t="shared" si="260"/>
        <v>6.6850304145452876E-3</v>
      </c>
      <c r="Q299" s="111">
        <f t="shared" si="260"/>
        <v>6.7959006030125823E-3</v>
      </c>
      <c r="R299" s="111">
        <f t="shared" si="260"/>
        <v>6.2810066788682537E-3</v>
      </c>
      <c r="S299" s="111">
        <f t="shared" si="260"/>
        <v>6.2810066788682537E-3</v>
      </c>
      <c r="T299" s="111">
        <f t="shared" si="260"/>
        <v>6.2810066788682537E-3</v>
      </c>
      <c r="U299" s="111">
        <f t="shared" si="260"/>
        <v>6.2810066788682537E-3</v>
      </c>
      <c r="V299" s="111">
        <f t="shared" si="260"/>
        <v>6.2810066788682537E-3</v>
      </c>
      <c r="W299" s="111">
        <f t="shared" si="260"/>
        <v>6.2810066788682537E-3</v>
      </c>
      <c r="X299" s="111">
        <f t="shared" si="260"/>
        <v>6.2810066788682537E-3</v>
      </c>
      <c r="Y299" s="111">
        <f t="shared" si="260"/>
        <v>6.2810066788682537E-3</v>
      </c>
    </row>
    <row r="300" spans="2:27" x14ac:dyDescent="0.25">
      <c r="F300" s="23" t="s">
        <v>198</v>
      </c>
      <c r="G300" s="23" t="s">
        <v>284</v>
      </c>
      <c r="J300" s="111">
        <f t="shared" ref="J300:Y300" si="261">J257 * J$93</f>
        <v>0.10045487811227319</v>
      </c>
      <c r="K300" s="111">
        <f t="shared" si="261"/>
        <v>0.10045487811227319</v>
      </c>
      <c r="L300" s="111">
        <f t="shared" si="261"/>
        <v>0.10768774732327127</v>
      </c>
      <c r="M300" s="111">
        <f t="shared" si="261"/>
        <v>0.10768774732327127</v>
      </c>
      <c r="N300" s="111">
        <f t="shared" si="261"/>
        <v>8.4758843872004622E-2</v>
      </c>
      <c r="O300" s="111">
        <f t="shared" si="261"/>
        <v>8.2179041608797868E-2</v>
      </c>
      <c r="P300" s="111">
        <f t="shared" si="261"/>
        <v>7.331958450526882E-2</v>
      </c>
      <c r="Q300" s="111">
        <f t="shared" si="261"/>
        <v>7.4535578397346855E-2</v>
      </c>
      <c r="R300" s="111">
        <f t="shared" si="261"/>
        <v>6.8888362716710727E-2</v>
      </c>
      <c r="S300" s="111">
        <f t="shared" si="261"/>
        <v>6.8888362716710727E-2</v>
      </c>
      <c r="T300" s="111">
        <f t="shared" si="261"/>
        <v>6.8888362716710727E-2</v>
      </c>
      <c r="U300" s="111">
        <f t="shared" si="261"/>
        <v>6.8888362716710727E-2</v>
      </c>
      <c r="V300" s="111">
        <f t="shared" si="261"/>
        <v>6.8888362716710727E-2</v>
      </c>
      <c r="W300" s="111">
        <f t="shared" si="261"/>
        <v>6.8888362716710727E-2</v>
      </c>
      <c r="X300" s="111">
        <f t="shared" si="261"/>
        <v>6.8888362716710727E-2</v>
      </c>
      <c r="Y300" s="111">
        <f t="shared" si="261"/>
        <v>6.8888362716710727E-2</v>
      </c>
    </row>
    <row r="301" spans="2:27" x14ac:dyDescent="0.25">
      <c r="F301" s="23" t="s">
        <v>199</v>
      </c>
      <c r="G301" s="23" t="s">
        <v>284</v>
      </c>
      <c r="J301" s="111">
        <f t="shared" ref="J301:Y301" si="262">J258 * J$93</f>
        <v>0.10045487811227319</v>
      </c>
      <c r="K301" s="111">
        <f t="shared" si="262"/>
        <v>0.10045487811227319</v>
      </c>
      <c r="L301" s="111">
        <f t="shared" si="262"/>
        <v>0.10768774732327127</v>
      </c>
      <c r="M301" s="111">
        <f t="shared" si="262"/>
        <v>0.10768774732327127</v>
      </c>
      <c r="N301" s="111">
        <f t="shared" si="262"/>
        <v>8.4758843872004622E-2</v>
      </c>
      <c r="O301" s="111">
        <f t="shared" si="262"/>
        <v>8.2179041608797868E-2</v>
      </c>
      <c r="P301" s="111">
        <f t="shared" si="262"/>
        <v>7.331958450526882E-2</v>
      </c>
      <c r="Q301" s="111">
        <f t="shared" si="262"/>
        <v>7.4535578397346855E-2</v>
      </c>
      <c r="R301" s="111">
        <f t="shared" si="262"/>
        <v>6.8888362716710727E-2</v>
      </c>
      <c r="S301" s="111">
        <f t="shared" si="262"/>
        <v>6.8888362716710727E-2</v>
      </c>
      <c r="T301" s="111">
        <f t="shared" si="262"/>
        <v>6.8888362716710727E-2</v>
      </c>
      <c r="U301" s="111">
        <f t="shared" si="262"/>
        <v>6.8888362716710727E-2</v>
      </c>
      <c r="V301" s="111">
        <f t="shared" si="262"/>
        <v>6.8888362716710727E-2</v>
      </c>
      <c r="W301" s="111">
        <f t="shared" si="262"/>
        <v>6.8888362716710727E-2</v>
      </c>
      <c r="X301" s="111">
        <f t="shared" si="262"/>
        <v>6.8888362716710727E-2</v>
      </c>
      <c r="Y301" s="111">
        <f t="shared" si="262"/>
        <v>6.8888362716710727E-2</v>
      </c>
    </row>
    <row r="302" spans="2:27" x14ac:dyDescent="0.25">
      <c r="F302" s="57" t="s">
        <v>200</v>
      </c>
      <c r="G302" s="57" t="s">
        <v>284</v>
      </c>
      <c r="H302" s="28"/>
      <c r="I302" s="28"/>
      <c r="J302" s="121">
        <f t="shared" ref="J302:Y302" si="263">J259 * J$93</f>
        <v>0.10045487811227319</v>
      </c>
      <c r="K302" s="121">
        <f t="shared" si="263"/>
        <v>0.10045487811227319</v>
      </c>
      <c r="L302" s="121">
        <f t="shared" si="263"/>
        <v>0.10768774732327127</v>
      </c>
      <c r="M302" s="121">
        <f t="shared" si="263"/>
        <v>0.10768774732327127</v>
      </c>
      <c r="N302" s="121">
        <f t="shared" si="263"/>
        <v>8.4758843872004622E-2</v>
      </c>
      <c r="O302" s="121">
        <f t="shared" si="263"/>
        <v>8.2179041608797868E-2</v>
      </c>
      <c r="P302" s="121">
        <f t="shared" si="263"/>
        <v>7.331958450526882E-2</v>
      </c>
      <c r="Q302" s="121">
        <f t="shared" si="263"/>
        <v>7.4535578397346855E-2</v>
      </c>
      <c r="R302" s="121">
        <f t="shared" si="263"/>
        <v>6.8888362716710727E-2</v>
      </c>
      <c r="S302" s="121">
        <f t="shared" si="263"/>
        <v>6.8888362716710727E-2</v>
      </c>
      <c r="T302" s="121">
        <f t="shared" si="263"/>
        <v>6.8888362716710727E-2</v>
      </c>
      <c r="U302" s="121">
        <f t="shared" si="263"/>
        <v>6.8888362716710727E-2</v>
      </c>
      <c r="V302" s="121">
        <f t="shared" si="263"/>
        <v>6.8888362716710727E-2</v>
      </c>
      <c r="W302" s="121">
        <f t="shared" si="263"/>
        <v>6.8888362716710727E-2</v>
      </c>
      <c r="X302" s="121">
        <f t="shared" si="263"/>
        <v>6.8888362716710727E-2</v>
      </c>
      <c r="Y302" s="121">
        <f t="shared" si="263"/>
        <v>6.8888362716710727E-2</v>
      </c>
    </row>
    <row r="304" spans="2:27" x14ac:dyDescent="0.25">
      <c r="B304" s="25" t="s">
        <v>232</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233</v>
      </c>
      <c r="G306" s="6" t="s">
        <v>56</v>
      </c>
      <c r="H306" s="93">
        <f t="array" ref="H306">SUM(IF(ISERROR(H20:Y302), 1))</f>
        <v>0</v>
      </c>
    </row>
    <row r="308" spans="2:27" x14ac:dyDescent="0.25">
      <c r="B308" s="25" t="s">
        <v>107</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192</v>
      </c>
      <c r="G23" s="19" t="s">
        <v>168</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193</v>
      </c>
      <c r="G24" t="s">
        <v>168</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194</v>
      </c>
      <c r="G25" t="s">
        <v>168</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195</v>
      </c>
      <c r="G26" t="s">
        <v>168</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196</v>
      </c>
      <c r="G27" t="s">
        <v>168</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197</v>
      </c>
      <c r="G28" t="s">
        <v>168</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198</v>
      </c>
      <c r="G29" t="s">
        <v>168</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199</v>
      </c>
      <c r="G30" t="s">
        <v>168</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200</v>
      </c>
      <c r="G31" s="28" t="s">
        <v>168</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155</v>
      </c>
      <c r="J33" s="53"/>
      <c r="K33" s="53"/>
      <c r="L33" s="53"/>
      <c r="M33" s="53"/>
      <c r="N33" s="53"/>
      <c r="O33" s="53"/>
      <c r="P33" s="53"/>
      <c r="Q33" s="53"/>
      <c r="R33" s="53"/>
      <c r="S33" s="53"/>
      <c r="T33" s="53"/>
      <c r="U33" s="53"/>
      <c r="V33" s="53"/>
      <c r="W33" s="53"/>
      <c r="X33" s="53"/>
      <c r="Y33" s="53"/>
      <c r="AA33" t="s">
        <v>498</v>
      </c>
      <c r="AQ33" s="3"/>
    </row>
    <row r="34" spans="5:43" x14ac:dyDescent="0.25">
      <c r="E34" s="27"/>
      <c r="F34" s="19" t="s">
        <v>192</v>
      </c>
      <c r="G34" s="19" t="s">
        <v>284</v>
      </c>
      <c r="H34" s="148"/>
      <c r="I34" s="148"/>
      <c r="J34" s="114">
        <f t="array" ref="J34:Y42">TRANSPOSE('Load &amp; loss characteristics'!K145:S160)</f>
        <v>1.0580000000000001</v>
      </c>
      <c r="K34" s="114">
        <v>1.0580000000000001</v>
      </c>
      <c r="L34" s="114">
        <v>1.0580000000000001</v>
      </c>
      <c r="M34" s="114">
        <v>1.0580000000000001</v>
      </c>
      <c r="N34" s="114">
        <v>1.0580000000000001</v>
      </c>
      <c r="O34" s="114">
        <v>1.0429999999999999</v>
      </c>
      <c r="P34" s="114">
        <v>1.0309999999999999</v>
      </c>
      <c r="Q34" s="114">
        <v>1.0580000000000001</v>
      </c>
      <c r="R34" s="114">
        <v>-1.0580000000000001</v>
      </c>
      <c r="S34" s="114">
        <v>-1.0429999999999999</v>
      </c>
      <c r="T34" s="114">
        <v>-1.0580000000000001</v>
      </c>
      <c r="U34" s="114">
        <v>-1.0580000000000001</v>
      </c>
      <c r="V34" s="114">
        <v>-1.0429999999999999</v>
      </c>
      <c r="W34" s="114">
        <v>-1.0429999999999999</v>
      </c>
      <c r="X34" s="114">
        <v>-1.0309999999999999</v>
      </c>
      <c r="Y34" s="114">
        <v>-1.0309999999999999</v>
      </c>
      <c r="AQ34" s="3"/>
    </row>
    <row r="35" spans="5:43" x14ac:dyDescent="0.25">
      <c r="E35" s="27"/>
      <c r="F35" t="s">
        <v>193</v>
      </c>
      <c r="G35" t="s">
        <v>284</v>
      </c>
      <c r="H35" s="79"/>
      <c r="I35" s="79"/>
      <c r="J35" s="110">
        <v>1.0580000000000001</v>
      </c>
      <c r="K35" s="110">
        <v>1.0580000000000001</v>
      </c>
      <c r="L35" s="110">
        <v>1.0580000000000001</v>
      </c>
      <c r="M35" s="110">
        <v>1.0580000000000001</v>
      </c>
      <c r="N35" s="110">
        <v>1.0580000000000001</v>
      </c>
      <c r="O35" s="110">
        <v>1.0429999999999999</v>
      </c>
      <c r="P35" s="110">
        <v>1.0309999999999999</v>
      </c>
      <c r="Q35" s="110">
        <v>1.0580000000000001</v>
      </c>
      <c r="R35" s="110">
        <v>-1.0580000000000001</v>
      </c>
      <c r="S35" s="110">
        <v>-1.0429999999999999</v>
      </c>
      <c r="T35" s="110">
        <v>-1.0580000000000001</v>
      </c>
      <c r="U35" s="110">
        <v>-1.0580000000000001</v>
      </c>
      <c r="V35" s="110">
        <v>-1.0429999999999999</v>
      </c>
      <c r="W35" s="110">
        <v>-1.0429999999999999</v>
      </c>
      <c r="X35" s="110">
        <v>-1.0309999999999999</v>
      </c>
      <c r="Y35" s="110">
        <v>-1.0309999999999999</v>
      </c>
      <c r="AQ35" s="3"/>
    </row>
    <row r="36" spans="5:43" x14ac:dyDescent="0.25">
      <c r="E36" s="27"/>
      <c r="F36" t="s">
        <v>194</v>
      </c>
      <c r="G36" t="s">
        <v>284</v>
      </c>
      <c r="H36" s="79"/>
      <c r="I36" s="79"/>
      <c r="J36" s="110">
        <v>1.0580000000000001</v>
      </c>
      <c r="K36" s="110">
        <v>1.0580000000000001</v>
      </c>
      <c r="L36" s="110">
        <v>1.0580000000000001</v>
      </c>
      <c r="M36" s="110">
        <v>1.0580000000000001</v>
      </c>
      <c r="N36" s="110">
        <v>1.0580000000000001</v>
      </c>
      <c r="O36" s="110">
        <v>1.0429999999999999</v>
      </c>
      <c r="P36" s="110">
        <v>1.0309999999999999</v>
      </c>
      <c r="Q36" s="110">
        <v>1.0580000000000001</v>
      </c>
      <c r="R36" s="110">
        <v>-1.0580000000000001</v>
      </c>
      <c r="S36" s="110">
        <v>-1.0429999999999999</v>
      </c>
      <c r="T36" s="110">
        <v>-1.0580000000000001</v>
      </c>
      <c r="U36" s="110">
        <v>-1.0580000000000001</v>
      </c>
      <c r="V36" s="110">
        <v>-1.0429999999999999</v>
      </c>
      <c r="W36" s="110">
        <v>-1.0429999999999999</v>
      </c>
      <c r="X36" s="110">
        <v>-1.0309999999999999</v>
      </c>
      <c r="Y36" s="110">
        <v>-1.0309999999999999</v>
      </c>
      <c r="AQ36" s="3"/>
    </row>
    <row r="37" spans="5:43" x14ac:dyDescent="0.25">
      <c r="E37" s="27"/>
      <c r="F37" t="s">
        <v>195</v>
      </c>
      <c r="G37" t="s">
        <v>284</v>
      </c>
      <c r="H37" s="79"/>
      <c r="I37" s="79"/>
      <c r="J37" s="110">
        <v>1.0580000000000001</v>
      </c>
      <c r="K37" s="110">
        <v>1.0580000000000001</v>
      </c>
      <c r="L37" s="110">
        <v>1.0580000000000001</v>
      </c>
      <c r="M37" s="110">
        <v>1.0580000000000001</v>
      </c>
      <c r="N37" s="110">
        <v>1.0580000000000001</v>
      </c>
      <c r="O37" s="110">
        <v>1.0429999999999999</v>
      </c>
      <c r="P37" s="110">
        <v>1.0309999999999999</v>
      </c>
      <c r="Q37" s="110">
        <v>1.0580000000000001</v>
      </c>
      <c r="R37" s="110">
        <v>-1.0580000000000001</v>
      </c>
      <c r="S37" s="110">
        <v>-1.0429999999999999</v>
      </c>
      <c r="T37" s="110">
        <v>-1.0580000000000001</v>
      </c>
      <c r="U37" s="110">
        <v>-1.0580000000000001</v>
      </c>
      <c r="V37" s="110">
        <v>-1.0429999999999999</v>
      </c>
      <c r="W37" s="110">
        <v>-1.0429999999999999</v>
      </c>
      <c r="X37" s="110">
        <v>-1.0309999999999999</v>
      </c>
      <c r="Y37" s="110">
        <v>-1.0309999999999999</v>
      </c>
      <c r="AQ37" s="3"/>
    </row>
    <row r="38" spans="5:43" x14ac:dyDescent="0.25">
      <c r="E38" s="27"/>
      <c r="F38" t="s">
        <v>196</v>
      </c>
      <c r="G38" t="s">
        <v>284</v>
      </c>
      <c r="H38" s="79"/>
      <c r="I38" s="79"/>
      <c r="J38" s="110">
        <v>1.0580000000000001</v>
      </c>
      <c r="K38" s="110">
        <v>1.0580000000000001</v>
      </c>
      <c r="L38" s="110">
        <v>1.0580000000000001</v>
      </c>
      <c r="M38" s="110">
        <v>1.0580000000000001</v>
      </c>
      <c r="N38" s="110">
        <v>1.0580000000000001</v>
      </c>
      <c r="O38" s="110">
        <v>1.0429999999999999</v>
      </c>
      <c r="P38" s="110">
        <v>1.0309999999999999</v>
      </c>
      <c r="Q38" s="110">
        <v>1.0580000000000001</v>
      </c>
      <c r="R38" s="110">
        <v>-1.0580000000000001</v>
      </c>
      <c r="S38" s="110">
        <v>-1.0429999999999999</v>
      </c>
      <c r="T38" s="110">
        <v>-1.0580000000000001</v>
      </c>
      <c r="U38" s="110">
        <v>-1.0580000000000001</v>
      </c>
      <c r="V38" s="110">
        <v>-1.0429999999999999</v>
      </c>
      <c r="W38" s="110">
        <v>-1.0429999999999999</v>
      </c>
      <c r="X38" s="110">
        <v>-1.0309999999999999</v>
      </c>
      <c r="Y38" s="110">
        <v>-1.0309999999999999</v>
      </c>
      <c r="AQ38" s="3"/>
    </row>
    <row r="39" spans="5:43" x14ac:dyDescent="0.25">
      <c r="E39" s="27"/>
      <c r="F39" t="s">
        <v>197</v>
      </c>
      <c r="G39" t="s">
        <v>284</v>
      </c>
      <c r="H39" s="79"/>
      <c r="I39" s="79"/>
      <c r="J39" s="110">
        <v>0</v>
      </c>
      <c r="K39" s="110">
        <v>0</v>
      </c>
      <c r="L39" s="110">
        <v>0</v>
      </c>
      <c r="M39" s="110">
        <v>0</v>
      </c>
      <c r="N39" s="110">
        <v>0</v>
      </c>
      <c r="O39" s="110">
        <v>0</v>
      </c>
      <c r="P39" s="110">
        <v>0</v>
      </c>
      <c r="Q39" s="110">
        <v>0</v>
      </c>
      <c r="R39" s="110">
        <v>0</v>
      </c>
      <c r="S39" s="110">
        <v>0</v>
      </c>
      <c r="T39" s="110">
        <v>0</v>
      </c>
      <c r="U39" s="110">
        <v>0</v>
      </c>
      <c r="V39" s="110">
        <v>0</v>
      </c>
      <c r="W39" s="110">
        <v>0</v>
      </c>
      <c r="X39" s="110">
        <v>0</v>
      </c>
      <c r="Y39" s="110">
        <v>0</v>
      </c>
      <c r="AQ39" s="3"/>
    </row>
    <row r="40" spans="5:43" x14ac:dyDescent="0.25">
      <c r="E40" s="27"/>
      <c r="F40" t="s">
        <v>198</v>
      </c>
      <c r="G40" t="s">
        <v>284</v>
      </c>
      <c r="H40" s="79"/>
      <c r="I40" s="79"/>
      <c r="J40" s="110">
        <v>1.0580000000000001</v>
      </c>
      <c r="K40" s="110">
        <v>1.0580000000000001</v>
      </c>
      <c r="L40" s="110">
        <v>1.0580000000000001</v>
      </c>
      <c r="M40" s="110">
        <v>1.0580000000000001</v>
      </c>
      <c r="N40" s="110">
        <v>1.0580000000000001</v>
      </c>
      <c r="O40" s="110">
        <v>1.0429999999999999</v>
      </c>
      <c r="P40" s="110">
        <v>1.0309999999999999</v>
      </c>
      <c r="Q40" s="110">
        <v>1.0580000000000001</v>
      </c>
      <c r="R40" s="110">
        <v>-1.0580000000000001</v>
      </c>
      <c r="S40" s="110">
        <v>-1.0429999999999999</v>
      </c>
      <c r="T40" s="110">
        <v>-1.0580000000000001</v>
      </c>
      <c r="U40" s="110">
        <v>-1.0580000000000001</v>
      </c>
      <c r="V40" s="110">
        <v>-1.0429999999999999</v>
      </c>
      <c r="W40" s="110">
        <v>-1.0429999999999999</v>
      </c>
      <c r="X40" s="110">
        <v>0</v>
      </c>
      <c r="Y40" s="110">
        <v>0</v>
      </c>
      <c r="AQ40" s="3"/>
    </row>
    <row r="41" spans="5:43" x14ac:dyDescent="0.25">
      <c r="E41" s="27"/>
      <c r="F41" t="s">
        <v>199</v>
      </c>
      <c r="G41" t="s">
        <v>284</v>
      </c>
      <c r="H41" s="79"/>
      <c r="I41" s="79"/>
      <c r="J41" s="110">
        <v>1.0580000000000001</v>
      </c>
      <c r="K41" s="110">
        <v>1.0580000000000001</v>
      </c>
      <c r="L41" s="110">
        <v>1.0580000000000001</v>
      </c>
      <c r="M41" s="110">
        <v>1.0580000000000001</v>
      </c>
      <c r="N41" s="110">
        <v>1.0580000000000001</v>
      </c>
      <c r="O41" s="110">
        <v>1.0429999999999999</v>
      </c>
      <c r="P41" s="110">
        <v>0</v>
      </c>
      <c r="Q41" s="110">
        <v>1.0580000000000001</v>
      </c>
      <c r="R41" s="110">
        <v>-1.0580000000000001</v>
      </c>
      <c r="S41" s="110">
        <v>0</v>
      </c>
      <c r="T41" s="110">
        <v>-1.0580000000000001</v>
      </c>
      <c r="U41" s="110">
        <v>-1.0580000000000001</v>
      </c>
      <c r="V41" s="110">
        <v>0</v>
      </c>
      <c r="W41" s="110">
        <v>0</v>
      </c>
      <c r="X41" s="110">
        <v>0</v>
      </c>
      <c r="Y41" s="110">
        <v>0</v>
      </c>
      <c r="AQ41" s="3"/>
    </row>
    <row r="42" spans="5:43" x14ac:dyDescent="0.25">
      <c r="E42" s="27"/>
      <c r="F42" s="28" t="s">
        <v>200</v>
      </c>
      <c r="G42" s="28" t="s">
        <v>284</v>
      </c>
      <c r="H42" s="72"/>
      <c r="I42" s="72"/>
      <c r="J42" s="115">
        <v>1.0580000000000001</v>
      </c>
      <c r="K42" s="115">
        <v>1.0580000000000001</v>
      </c>
      <c r="L42" s="115">
        <v>1.0580000000000001</v>
      </c>
      <c r="M42" s="115">
        <v>1.0580000000000001</v>
      </c>
      <c r="N42" s="115">
        <v>1.0580000000000001</v>
      </c>
      <c r="O42" s="115">
        <v>0</v>
      </c>
      <c r="P42" s="115">
        <v>0</v>
      </c>
      <c r="Q42" s="115">
        <v>1.0580000000000001</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192</v>
      </c>
      <c r="G45" s="19" t="s">
        <v>284</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193</v>
      </c>
      <c r="G46" t="s">
        <v>284</v>
      </c>
      <c r="H46" s="110">
        <f>'Load &amp; loss characteristics'!L29</f>
        <v>1</v>
      </c>
      <c r="I46" s="79"/>
      <c r="J46" s="79"/>
      <c r="K46" s="79"/>
      <c r="L46" s="79"/>
      <c r="M46" s="79"/>
      <c r="N46" s="79"/>
      <c r="O46" s="79"/>
      <c r="P46" s="79"/>
      <c r="Q46" s="79"/>
      <c r="R46" s="79"/>
      <c r="S46" s="79"/>
      <c r="T46" s="79"/>
      <c r="U46" s="79"/>
      <c r="V46" s="79"/>
      <c r="W46" s="79"/>
      <c r="X46" s="79"/>
      <c r="Y46" s="79"/>
      <c r="AQ46" s="3"/>
    </row>
    <row r="47" spans="5:43" x14ac:dyDescent="0.25">
      <c r="E47" s="27"/>
      <c r="F47" t="s">
        <v>194</v>
      </c>
      <c r="G47" t="s">
        <v>284</v>
      </c>
      <c r="H47" s="110">
        <f>'Load &amp; loss characteristics'!M29</f>
        <v>1.004</v>
      </c>
      <c r="I47" s="79"/>
      <c r="J47" s="79"/>
      <c r="K47" s="79"/>
      <c r="L47" s="79"/>
      <c r="M47" s="79"/>
      <c r="N47" s="79"/>
      <c r="O47" s="79"/>
      <c r="P47" s="79"/>
      <c r="Q47" s="79"/>
      <c r="R47" s="79"/>
      <c r="S47" s="79"/>
      <c r="T47" s="79"/>
      <c r="U47" s="79"/>
      <c r="V47" s="79"/>
      <c r="W47" s="79"/>
      <c r="X47" s="79"/>
      <c r="Y47" s="79"/>
      <c r="AQ47" s="3"/>
    </row>
    <row r="48" spans="5:43" x14ac:dyDescent="0.25">
      <c r="E48" s="27"/>
      <c r="F48" t="s">
        <v>195</v>
      </c>
      <c r="G48" t="s">
        <v>284</v>
      </c>
      <c r="H48" s="110">
        <f>'Load &amp; loss characteristics'!N29</f>
        <v>1.01</v>
      </c>
      <c r="I48" s="79"/>
      <c r="J48" s="79"/>
      <c r="K48" s="79"/>
      <c r="L48" s="79"/>
      <c r="M48" s="79"/>
      <c r="N48" s="79"/>
      <c r="O48" s="79"/>
      <c r="P48" s="79"/>
      <c r="Q48" s="79"/>
      <c r="R48" s="79"/>
      <c r="S48" s="79"/>
      <c r="T48" s="79"/>
      <c r="U48" s="79"/>
      <c r="V48" s="79"/>
      <c r="W48" s="79"/>
      <c r="X48" s="79"/>
      <c r="Y48" s="79"/>
      <c r="AQ48" s="3"/>
    </row>
    <row r="49" spans="2:43" x14ac:dyDescent="0.25">
      <c r="E49" s="27"/>
      <c r="F49" t="s">
        <v>196</v>
      </c>
      <c r="G49" t="s">
        <v>284</v>
      </c>
      <c r="H49" s="110">
        <f>'Load &amp; loss characteristics'!O29</f>
        <v>1.014</v>
      </c>
      <c r="I49" s="79"/>
      <c r="J49" s="79"/>
      <c r="K49" s="79"/>
      <c r="L49" s="79"/>
      <c r="M49" s="79"/>
      <c r="N49" s="79"/>
      <c r="O49" s="79"/>
      <c r="P49" s="79"/>
      <c r="Q49" s="79"/>
      <c r="R49" s="79"/>
      <c r="S49" s="79"/>
      <c r="T49" s="79"/>
      <c r="U49" s="79"/>
      <c r="V49" s="79"/>
      <c r="W49" s="79"/>
      <c r="X49" s="79"/>
      <c r="Y49" s="79"/>
      <c r="AQ49" s="3"/>
    </row>
    <row r="50" spans="2:43" x14ac:dyDescent="0.25">
      <c r="E50" s="27"/>
      <c r="F50" t="s">
        <v>197</v>
      </c>
      <c r="G50" t="s">
        <v>284</v>
      </c>
      <c r="H50" s="110">
        <f>'Load &amp; loss characteristics'!P29</f>
        <v>1.014</v>
      </c>
      <c r="I50" s="79"/>
      <c r="J50" s="79"/>
      <c r="K50" s="79"/>
      <c r="L50" s="79"/>
      <c r="M50" s="79"/>
      <c r="N50" s="79"/>
      <c r="O50" s="79"/>
      <c r="P50" s="79"/>
      <c r="Q50" s="79"/>
      <c r="R50" s="79"/>
      <c r="S50" s="79"/>
      <c r="T50" s="79"/>
      <c r="U50" s="79"/>
      <c r="V50" s="79"/>
      <c r="W50" s="79"/>
      <c r="X50" s="79"/>
      <c r="Y50" s="79"/>
      <c r="AQ50" s="3"/>
    </row>
    <row r="51" spans="2:43" x14ac:dyDescent="0.25">
      <c r="E51" s="27"/>
      <c r="F51" t="s">
        <v>198</v>
      </c>
      <c r="G51" t="s">
        <v>284</v>
      </c>
      <c r="H51" s="110">
        <f>'Load &amp; loss characteristics'!Q29</f>
        <v>1.0309999999999999</v>
      </c>
      <c r="I51" s="79"/>
      <c r="J51" s="79"/>
      <c r="K51" s="79"/>
      <c r="L51" s="79"/>
      <c r="M51" s="79"/>
      <c r="N51" s="79"/>
      <c r="O51" s="79"/>
      <c r="P51" s="79"/>
      <c r="Q51" s="79"/>
      <c r="R51" s="79"/>
      <c r="S51" s="79"/>
      <c r="T51" s="79"/>
      <c r="U51" s="79"/>
      <c r="V51" s="79"/>
      <c r="W51" s="79"/>
      <c r="X51" s="79"/>
      <c r="Y51" s="79"/>
      <c r="AQ51" s="3"/>
    </row>
    <row r="52" spans="2:43" x14ac:dyDescent="0.25">
      <c r="E52" s="27"/>
      <c r="F52" t="s">
        <v>199</v>
      </c>
      <c r="G52" t="s">
        <v>284</v>
      </c>
      <c r="H52" s="110">
        <f>'Load &amp; loss characteristics'!R29</f>
        <v>1.0429999999999999</v>
      </c>
      <c r="I52" s="79"/>
      <c r="J52" s="79"/>
      <c r="K52" s="79"/>
      <c r="L52" s="79"/>
      <c r="M52" s="79"/>
      <c r="N52" s="79"/>
      <c r="O52" s="79"/>
      <c r="P52" s="79"/>
      <c r="Q52" s="79"/>
      <c r="R52" s="79"/>
      <c r="S52" s="79"/>
      <c r="T52" s="79"/>
      <c r="U52" s="79"/>
      <c r="V52" s="79"/>
      <c r="W52" s="79"/>
      <c r="X52" s="79"/>
      <c r="Y52" s="79"/>
      <c r="AQ52" s="3"/>
    </row>
    <row r="53" spans="2:43" x14ac:dyDescent="0.25">
      <c r="E53" s="27"/>
      <c r="F53" s="28" t="s">
        <v>200</v>
      </c>
      <c r="G53" s="28" t="s">
        <v>284</v>
      </c>
      <c r="H53" s="115">
        <f>'Load &amp; loss characteristics'!S29</f>
        <v>1.0580000000000001</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155</v>
      </c>
      <c r="J55" s="79"/>
      <c r="K55" s="79"/>
      <c r="L55" s="79"/>
      <c r="M55" s="79"/>
      <c r="N55" s="79"/>
      <c r="O55" s="79"/>
      <c r="P55" s="79"/>
      <c r="Q55" s="79"/>
      <c r="R55" s="79"/>
      <c r="S55" s="79"/>
      <c r="T55" s="79"/>
      <c r="U55" s="79"/>
      <c r="V55" s="79"/>
      <c r="W55" s="79"/>
      <c r="X55" s="79"/>
      <c r="Y55" s="79"/>
      <c r="AA55" t="s">
        <v>501</v>
      </c>
    </row>
    <row r="56" spans="2:43" x14ac:dyDescent="0.25">
      <c r="E56" s="27"/>
      <c r="F56" s="19" t="s">
        <v>157</v>
      </c>
      <c r="G56" s="19" t="s">
        <v>208</v>
      </c>
      <c r="H56" s="148"/>
      <c r="I56" s="148"/>
      <c r="J56" s="114">
        <f>'Volume adjustments'!J238</f>
        <v>428149.96695391025</v>
      </c>
      <c r="K56" s="114">
        <f>'Volume adjustments'!K238</f>
        <v>35.655431680661394</v>
      </c>
      <c r="L56" s="114">
        <f>'Volume adjustments'!L238</f>
        <v>115271.26151054395</v>
      </c>
      <c r="M56" s="114">
        <f>'Volume adjustments'!M238</f>
        <v>26.359392987120788</v>
      </c>
      <c r="N56" s="114">
        <f>'Volume adjustments'!N238</f>
        <v>90259.895860640521</v>
      </c>
      <c r="O56" s="114">
        <f>'Volume adjustments'!O238</f>
        <v>42295.127275724582</v>
      </c>
      <c r="P56" s="114">
        <f>'Volume adjustments'!P238</f>
        <v>140632.27697071002</v>
      </c>
      <c r="Q56" s="114">
        <f>'Volume adjustments'!Q238</f>
        <v>3026.8327703338973</v>
      </c>
      <c r="R56" s="114">
        <f>'Volume adjustments'!R238</f>
        <v>457.81298617729391</v>
      </c>
      <c r="S56" s="114">
        <f>'Volume adjustments'!S238</f>
        <v>0</v>
      </c>
      <c r="T56" s="114">
        <f>'Volume adjustments'!T238</f>
        <v>3301.2298045794673</v>
      </c>
      <c r="U56" s="114">
        <f>'Volume adjustments'!U238</f>
        <v>0</v>
      </c>
      <c r="V56" s="114">
        <f>'Volume adjustments'!V238</f>
        <v>811.80541464978148</v>
      </c>
      <c r="W56" s="114">
        <f>'Volume adjustments'!W238</f>
        <v>0</v>
      </c>
      <c r="X56" s="114">
        <f>'Volume adjustments'!X238</f>
        <v>36268.325369716345</v>
      </c>
      <c r="Y56" s="114">
        <f>'Volume adjustments'!Y238</f>
        <v>0</v>
      </c>
      <c r="AQ56" s="3"/>
    </row>
    <row r="57" spans="2:43" x14ac:dyDescent="0.25">
      <c r="E57" s="27"/>
      <c r="F57" t="s">
        <v>158</v>
      </c>
      <c r="G57" t="s">
        <v>208</v>
      </c>
      <c r="H57" s="79"/>
      <c r="I57" s="79"/>
      <c r="J57" s="110">
        <f>'Volume adjustments'!J249</f>
        <v>2239763.2669037757</v>
      </c>
      <c r="K57" s="110">
        <f>'Volume adjustments'!K249</f>
        <v>3242.2928055299481</v>
      </c>
      <c r="L57" s="110">
        <f>'Volume adjustments'!L249</f>
        <v>919983.5100707981</v>
      </c>
      <c r="M57" s="110">
        <f>'Volume adjustments'!M249</f>
        <v>1539.4768248033429</v>
      </c>
      <c r="N57" s="110">
        <f>'Volume adjustments'!N249</f>
        <v>649271.46488200722</v>
      </c>
      <c r="O57" s="110">
        <f>'Volume adjustments'!O249</f>
        <v>309913.61345495057</v>
      </c>
      <c r="P57" s="110">
        <f>'Volume adjustments'!P249</f>
        <v>976456.21111019235</v>
      </c>
      <c r="Q57" s="110">
        <f>'Volume adjustments'!Q249</f>
        <v>28127.672923672086</v>
      </c>
      <c r="R57" s="110">
        <f>'Volume adjustments'!R249</f>
        <v>4560.9701820488117</v>
      </c>
      <c r="S57" s="110">
        <f>'Volume adjustments'!S249</f>
        <v>0</v>
      </c>
      <c r="T57" s="110">
        <f>'Volume adjustments'!T249</f>
        <v>31812.380256598921</v>
      </c>
      <c r="U57" s="110">
        <f>'Volume adjustments'!U249</f>
        <v>0</v>
      </c>
      <c r="V57" s="110">
        <f>'Volume adjustments'!V249</f>
        <v>7185.4690196373358</v>
      </c>
      <c r="W57" s="110">
        <f>'Volume adjustments'!W249</f>
        <v>0</v>
      </c>
      <c r="X57" s="110">
        <f>'Volume adjustments'!X249</f>
        <v>289073.53494591836</v>
      </c>
      <c r="Y57" s="110">
        <f>'Volume adjustments'!Y249</f>
        <v>0</v>
      </c>
      <c r="AQ57" s="3"/>
    </row>
    <row r="58" spans="2:43" x14ac:dyDescent="0.25">
      <c r="E58" s="27"/>
      <c r="F58" s="28" t="s">
        <v>159</v>
      </c>
      <c r="G58" s="28" t="s">
        <v>208</v>
      </c>
      <c r="H58" s="72"/>
      <c r="I58" s="72"/>
      <c r="J58" s="115">
        <f>'Volume adjustments'!J260</f>
        <v>2506644.8271904094</v>
      </c>
      <c r="K58" s="115">
        <f>'Volume adjustments'!K260</f>
        <v>25948.408931906615</v>
      </c>
      <c r="L58" s="115">
        <f>'Volume adjustments'!L260</f>
        <v>783855.09448828013</v>
      </c>
      <c r="M58" s="115">
        <f>'Volume adjustments'!M260</f>
        <v>10781.362867132962</v>
      </c>
      <c r="N58" s="115">
        <f>'Volume adjustments'!N260</f>
        <v>579107.3875576118</v>
      </c>
      <c r="O58" s="115">
        <f>'Volume adjustments'!O260</f>
        <v>306405.31886340748</v>
      </c>
      <c r="P58" s="115">
        <f>'Volume adjustments'!P260</f>
        <v>1111284.4276109242</v>
      </c>
      <c r="Q58" s="115">
        <f>'Volume adjustments'!Q260</f>
        <v>69645.577244407395</v>
      </c>
      <c r="R58" s="115">
        <f>'Volume adjustments'!R260</f>
        <v>2254.3906596998399</v>
      </c>
      <c r="S58" s="115">
        <f>'Volume adjustments'!S260</f>
        <v>0</v>
      </c>
      <c r="T58" s="115">
        <f>'Volume adjustments'!T260</f>
        <v>27528.063337650925</v>
      </c>
      <c r="U58" s="115">
        <f>'Volume adjustments'!U260</f>
        <v>0</v>
      </c>
      <c r="V58" s="115">
        <f>'Volume adjustments'!V260</f>
        <v>6962.9505694314412</v>
      </c>
      <c r="W58" s="115">
        <f>'Volume adjustments'!W260</f>
        <v>0</v>
      </c>
      <c r="X58" s="115">
        <f>'Volume adjustments'!X260</f>
        <v>234787.57468174878</v>
      </c>
      <c r="Y58" s="115">
        <f>'Volume adjustments'!Y260</f>
        <v>0</v>
      </c>
      <c r="AQ58" s="3"/>
    </row>
    <row r="59" spans="2:43" x14ac:dyDescent="0.25">
      <c r="E59" s="27"/>
      <c r="F59" s="98" t="s">
        <v>502</v>
      </c>
      <c r="G59" s="98" t="s">
        <v>208</v>
      </c>
      <c r="H59" s="157"/>
      <c r="I59" s="157"/>
      <c r="J59" s="157">
        <f t="shared" ref="J59:Y59" si="0">SUM(J56:J58)</f>
        <v>5174558.061048096</v>
      </c>
      <c r="K59" s="157">
        <f t="shared" si="0"/>
        <v>29226.357169117226</v>
      </c>
      <c r="L59" s="157">
        <f t="shared" si="0"/>
        <v>1819109.8660696223</v>
      </c>
      <c r="M59" s="157">
        <f t="shared" si="0"/>
        <v>12347.199084923426</v>
      </c>
      <c r="N59" s="157">
        <f t="shared" si="0"/>
        <v>1318638.7483002595</v>
      </c>
      <c r="O59" s="157">
        <f t="shared" si="0"/>
        <v>658614.05959408265</v>
      </c>
      <c r="P59" s="157">
        <f t="shared" si="0"/>
        <v>2228372.9156918265</v>
      </c>
      <c r="Q59" s="157">
        <f t="shared" si="0"/>
        <v>100800.08293841338</v>
      </c>
      <c r="R59" s="157">
        <f t="shared" si="0"/>
        <v>7273.1738279259462</v>
      </c>
      <c r="S59" s="157">
        <f t="shared" si="0"/>
        <v>0</v>
      </c>
      <c r="T59" s="157">
        <f t="shared" si="0"/>
        <v>62641.673398829313</v>
      </c>
      <c r="U59" s="157">
        <f t="shared" si="0"/>
        <v>0</v>
      </c>
      <c r="V59" s="157">
        <f t="shared" si="0"/>
        <v>14960.225003718559</v>
      </c>
      <c r="W59" s="157">
        <f t="shared" si="0"/>
        <v>0</v>
      </c>
      <c r="X59" s="157">
        <f t="shared" si="0"/>
        <v>560129.43499738351</v>
      </c>
      <c r="Y59" s="157">
        <f t="shared" si="0"/>
        <v>0</v>
      </c>
      <c r="AQ59" s="3"/>
    </row>
    <row r="60" spans="2:43" x14ac:dyDescent="0.25">
      <c r="D60" s="27"/>
      <c r="J60" s="53"/>
      <c r="L60" s="53"/>
      <c r="AQ60" s="3"/>
    </row>
    <row r="61" spans="2:43" x14ac:dyDescent="0.25">
      <c r="C61" s="27"/>
      <c r="E61" s="23" t="s">
        <v>242</v>
      </c>
      <c r="F61" s="23"/>
      <c r="G61" s="23" t="s">
        <v>168</v>
      </c>
      <c r="I61" t="s">
        <v>155</v>
      </c>
      <c r="J61" s="21">
        <f>'Inputs by customer type'!J15</f>
        <v>0.43610295406228738</v>
      </c>
      <c r="K61" s="21">
        <f>'Inputs by customer type'!K15</f>
        <v>0.14875287053560327</v>
      </c>
      <c r="L61" s="21">
        <f>'Inputs by customer type'!L15</f>
        <v>0.43548753733382101</v>
      </c>
      <c r="M61" s="21">
        <f>'Inputs by customer type'!M15</f>
        <v>0.16295077918509474</v>
      </c>
      <c r="N61" s="21">
        <f>'Inputs by customer type'!N15</f>
        <v>0.54786519671524625</v>
      </c>
      <c r="O61" s="21">
        <f>'Inputs by customer type'!O15</f>
        <v>0.6013076823910245</v>
      </c>
      <c r="P61" s="21">
        <f>'Inputs by customer type'!P15</f>
        <v>0.74020653461297725</v>
      </c>
      <c r="Q61" s="21">
        <f>'Inputs by customer type'!Q15</f>
        <v>0.49990018204724129</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192</v>
      </c>
      <c r="G70" s="19" t="s">
        <v>284</v>
      </c>
      <c r="H70" s="19"/>
      <c r="I70" s="19"/>
      <c r="J70" s="114">
        <f>'Pseudo-load coefficients'!J272</f>
        <v>23.174181312798076</v>
      </c>
      <c r="K70" s="114">
        <f>'Pseudo-load coefficients'!K272</f>
        <v>23.174181312798076</v>
      </c>
      <c r="L70" s="114">
        <f>'Pseudo-load coefficients'!L272</f>
        <v>24.842749586009145</v>
      </c>
      <c r="M70" s="114">
        <f>'Pseudo-load coefficients'!M272</f>
        <v>24.842749586009145</v>
      </c>
      <c r="N70" s="114">
        <f>'Pseudo-load coefficients'!N272</f>
        <v>19.553224817591001</v>
      </c>
      <c r="O70" s="114">
        <f>'Pseudo-load coefficients'!O272</f>
        <v>18.958083929242086</v>
      </c>
      <c r="P70" s="114">
        <f>'Pseudo-load coefficients'!P272</f>
        <v>16.91427412021844</v>
      </c>
      <c r="Q70" s="114">
        <f>'Pseudo-load coefficients'!Q272</f>
        <v>56.426648751638652</v>
      </c>
      <c r="R70" s="114">
        <f>'Pseudo-load coefficients'!R272</f>
        <v>15.892024737261689</v>
      </c>
      <c r="S70" s="114">
        <f>'Pseudo-load coefficients'!S272</f>
        <v>15.892024737261689</v>
      </c>
      <c r="T70" s="114">
        <f>'Pseudo-load coefficients'!T272</f>
        <v>15.892024737261689</v>
      </c>
      <c r="U70" s="114">
        <f>'Pseudo-load coefficients'!U272</f>
        <v>15.892024737261689</v>
      </c>
      <c r="V70" s="114">
        <f>'Pseudo-load coefficients'!V272</f>
        <v>15.892024737261689</v>
      </c>
      <c r="W70" s="114">
        <f>'Pseudo-load coefficients'!W272</f>
        <v>15.892024737261689</v>
      </c>
      <c r="X70" s="114">
        <f>'Pseudo-load coefficients'!X272</f>
        <v>15.892024737261689</v>
      </c>
      <c r="Y70" s="114">
        <f>'Pseudo-load coefficients'!Y272</f>
        <v>15.892024737261689</v>
      </c>
      <c r="AQ70" s="3"/>
    </row>
    <row r="71" spans="3:43" x14ac:dyDescent="0.25">
      <c r="E71" s="27"/>
      <c r="F71" t="s">
        <v>193</v>
      </c>
      <c r="G71" t="s">
        <v>284</v>
      </c>
      <c r="J71" s="110">
        <f>'Pseudo-load coefficients'!J273</f>
        <v>21.28464446610484</v>
      </c>
      <c r="K71" s="110">
        <f>'Pseudo-load coefficients'!K273</f>
        <v>21.28464446610484</v>
      </c>
      <c r="L71" s="110">
        <f>'Pseudo-load coefficients'!L273</f>
        <v>22.81716386704294</v>
      </c>
      <c r="M71" s="110">
        <f>'Pseudo-load coefficients'!M273</f>
        <v>22.81716386704294</v>
      </c>
      <c r="N71" s="110">
        <f>'Pseudo-load coefficients'!N273</f>
        <v>17.958927342059003</v>
      </c>
      <c r="O71" s="110">
        <f>'Pseudo-load coefficients'!O273</f>
        <v>17.412312035793455</v>
      </c>
      <c r="P71" s="110">
        <f>'Pseudo-load coefficients'!P273</f>
        <v>15.535146903000529</v>
      </c>
      <c r="Q71" s="110">
        <f>'Pseudo-load coefficients'!Q273</f>
        <v>48.298764420505449</v>
      </c>
      <c r="R71" s="110">
        <f>'Pseudo-load coefficients'!R273</f>
        <v>14.596247945654692</v>
      </c>
      <c r="S71" s="110">
        <f>'Pseudo-load coefficients'!S273</f>
        <v>14.596247945654692</v>
      </c>
      <c r="T71" s="110">
        <f>'Pseudo-load coefficients'!T273</f>
        <v>14.596247945654692</v>
      </c>
      <c r="U71" s="110">
        <f>'Pseudo-load coefficients'!U273</f>
        <v>14.596247945654692</v>
      </c>
      <c r="V71" s="110">
        <f>'Pseudo-load coefficients'!V273</f>
        <v>14.596247945654692</v>
      </c>
      <c r="W71" s="110">
        <f>'Pseudo-load coefficients'!W273</f>
        <v>14.596247945654692</v>
      </c>
      <c r="X71" s="110">
        <f>'Pseudo-load coefficients'!X273</f>
        <v>14.596247945654692</v>
      </c>
      <c r="Y71" s="110">
        <f>'Pseudo-load coefficients'!Y273</f>
        <v>14.596247945654692</v>
      </c>
      <c r="AQ71" s="3"/>
    </row>
    <row r="72" spans="3:43" x14ac:dyDescent="0.25">
      <c r="E72" s="27"/>
      <c r="F72" t="s">
        <v>194</v>
      </c>
      <c r="G72" t="s">
        <v>284</v>
      </c>
      <c r="J72" s="110">
        <f>'Pseudo-load coefficients'!J274</f>
        <v>21.28464446610484</v>
      </c>
      <c r="K72" s="110">
        <f>'Pseudo-load coefficients'!K274</f>
        <v>21.28464446610484</v>
      </c>
      <c r="L72" s="110">
        <f>'Pseudo-load coefficients'!L274</f>
        <v>22.81716386704294</v>
      </c>
      <c r="M72" s="110">
        <f>'Pseudo-load coefficients'!M274</f>
        <v>22.81716386704294</v>
      </c>
      <c r="N72" s="110">
        <f>'Pseudo-load coefficients'!N274</f>
        <v>17.958927342059003</v>
      </c>
      <c r="O72" s="110">
        <f>'Pseudo-load coefficients'!O274</f>
        <v>17.412312035793455</v>
      </c>
      <c r="P72" s="110">
        <f>'Pseudo-load coefficients'!P274</f>
        <v>15.535146903000529</v>
      </c>
      <c r="Q72" s="110">
        <f>'Pseudo-load coefficients'!Q274</f>
        <v>48.298764420505449</v>
      </c>
      <c r="R72" s="110">
        <f>'Pseudo-load coefficients'!R274</f>
        <v>14.596247945654692</v>
      </c>
      <c r="S72" s="110">
        <f>'Pseudo-load coefficients'!S274</f>
        <v>14.596247945654692</v>
      </c>
      <c r="T72" s="110">
        <f>'Pseudo-load coefficients'!T274</f>
        <v>14.596247945654692</v>
      </c>
      <c r="U72" s="110">
        <f>'Pseudo-load coefficients'!U274</f>
        <v>14.596247945654692</v>
      </c>
      <c r="V72" s="110">
        <f>'Pseudo-load coefficients'!V274</f>
        <v>14.596247945654692</v>
      </c>
      <c r="W72" s="110">
        <f>'Pseudo-load coefficients'!W274</f>
        <v>14.596247945654692</v>
      </c>
      <c r="X72" s="110">
        <f>'Pseudo-load coefficients'!X274</f>
        <v>14.596247945654692</v>
      </c>
      <c r="Y72" s="110">
        <f>'Pseudo-load coefficients'!Y274</f>
        <v>14.596247945654692</v>
      </c>
      <c r="AQ72" s="3"/>
    </row>
    <row r="73" spans="3:43" x14ac:dyDescent="0.25">
      <c r="E73" s="27"/>
      <c r="F73" t="s">
        <v>195</v>
      </c>
      <c r="G73" t="s">
        <v>284</v>
      </c>
      <c r="J73" s="110">
        <f>'Pseudo-load coefficients'!J275</f>
        <v>15.59265842543903</v>
      </c>
      <c r="K73" s="110">
        <f>'Pseudo-load coefficients'!K275</f>
        <v>15.59265842543903</v>
      </c>
      <c r="L73" s="110">
        <f>'Pseudo-load coefficients'!L275</f>
        <v>16.715348146060858</v>
      </c>
      <c r="M73" s="110">
        <f>'Pseudo-load coefficients'!M275</f>
        <v>16.715348146060858</v>
      </c>
      <c r="N73" s="110">
        <f>'Pseudo-load coefficients'!N275</f>
        <v>13.156311827427466</v>
      </c>
      <c r="O73" s="110">
        <f>'Pseudo-load coefficients'!O275</f>
        <v>12.755873578421786</v>
      </c>
      <c r="P73" s="110">
        <f>'Pseudo-load coefficients'!P275</f>
        <v>11.380704039160955</v>
      </c>
      <c r="Q73" s="110">
        <f>'Pseudo-load coefficients'!Q275</f>
        <v>33.136065754960512</v>
      </c>
      <c r="R73" s="110">
        <f>'Pseudo-load coefficients'!R275</f>
        <v>10.692887488538833</v>
      </c>
      <c r="S73" s="110">
        <f>'Pseudo-load coefficients'!S275</f>
        <v>10.692887488538833</v>
      </c>
      <c r="T73" s="110">
        <f>'Pseudo-load coefficients'!T275</f>
        <v>10.692887488538833</v>
      </c>
      <c r="U73" s="110">
        <f>'Pseudo-load coefficients'!U275</f>
        <v>10.692887488538833</v>
      </c>
      <c r="V73" s="110">
        <f>'Pseudo-load coefficients'!V275</f>
        <v>10.692887488538833</v>
      </c>
      <c r="W73" s="110">
        <f>'Pseudo-load coefficients'!W275</f>
        <v>10.692887488538833</v>
      </c>
      <c r="X73" s="110">
        <f>'Pseudo-load coefficients'!X275</f>
        <v>10.692887488538833</v>
      </c>
      <c r="Y73" s="110">
        <f>'Pseudo-load coefficients'!Y275</f>
        <v>10.692887488538833</v>
      </c>
      <c r="AQ73" s="3"/>
    </row>
    <row r="74" spans="3:43" x14ac:dyDescent="0.25">
      <c r="E74" s="27"/>
      <c r="F74" t="s">
        <v>196</v>
      </c>
      <c r="G74" t="s">
        <v>284</v>
      </c>
      <c r="J74" s="110">
        <f>'Pseudo-load coefficients'!J276</f>
        <v>15.59265842543903</v>
      </c>
      <c r="K74" s="110">
        <f>'Pseudo-load coefficients'!K276</f>
        <v>15.59265842543903</v>
      </c>
      <c r="L74" s="110">
        <f>'Pseudo-load coefficients'!L276</f>
        <v>16.715348146060858</v>
      </c>
      <c r="M74" s="110">
        <f>'Pseudo-load coefficients'!M276</f>
        <v>16.715348146060858</v>
      </c>
      <c r="N74" s="110">
        <f>'Pseudo-load coefficients'!N276</f>
        <v>13.156311827427466</v>
      </c>
      <c r="O74" s="110">
        <f>'Pseudo-load coefficients'!O276</f>
        <v>12.755873578421786</v>
      </c>
      <c r="P74" s="110">
        <f>'Pseudo-load coefficients'!P276</f>
        <v>11.380704039160955</v>
      </c>
      <c r="Q74" s="110">
        <f>'Pseudo-load coefficients'!Q276</f>
        <v>33.136065754960512</v>
      </c>
      <c r="R74" s="110">
        <f>'Pseudo-load coefficients'!R276</f>
        <v>10.692887488538833</v>
      </c>
      <c r="S74" s="110">
        <f>'Pseudo-load coefficients'!S276</f>
        <v>10.692887488538833</v>
      </c>
      <c r="T74" s="110">
        <f>'Pseudo-load coefficients'!T276</f>
        <v>10.692887488538833</v>
      </c>
      <c r="U74" s="110">
        <f>'Pseudo-load coefficients'!U276</f>
        <v>10.692887488538833</v>
      </c>
      <c r="V74" s="110">
        <f>'Pseudo-load coefficients'!V276</f>
        <v>10.692887488538833</v>
      </c>
      <c r="W74" s="110">
        <f>'Pseudo-load coefficients'!W276</f>
        <v>10.692887488538833</v>
      </c>
      <c r="X74" s="110">
        <f>'Pseudo-load coefficients'!X276</f>
        <v>10.692887488538833</v>
      </c>
      <c r="Y74" s="110">
        <f>'Pseudo-load coefficients'!Y276</f>
        <v>10.692887488538833</v>
      </c>
      <c r="AQ74" s="3"/>
    </row>
    <row r="75" spans="3:43" x14ac:dyDescent="0.25">
      <c r="E75" s="27"/>
      <c r="F75" t="s">
        <v>197</v>
      </c>
      <c r="G75" t="s">
        <v>284</v>
      </c>
      <c r="J75" s="110">
        <f>'Pseudo-load coefficients'!J277</f>
        <v>21.28464446610484</v>
      </c>
      <c r="K75" s="110">
        <f>'Pseudo-load coefficients'!K277</f>
        <v>21.28464446610484</v>
      </c>
      <c r="L75" s="110">
        <f>'Pseudo-load coefficients'!L277</f>
        <v>22.81716386704294</v>
      </c>
      <c r="M75" s="110">
        <f>'Pseudo-load coefficients'!M277</f>
        <v>22.81716386704294</v>
      </c>
      <c r="N75" s="110">
        <f>'Pseudo-load coefficients'!N277</f>
        <v>17.958927342059003</v>
      </c>
      <c r="O75" s="110">
        <f>'Pseudo-load coefficients'!O277</f>
        <v>17.412312035793455</v>
      </c>
      <c r="P75" s="110">
        <f>'Pseudo-load coefficients'!P277</f>
        <v>15.535146903000529</v>
      </c>
      <c r="Q75" s="110">
        <f>'Pseudo-load coefficients'!Q277</f>
        <v>48.298764420505449</v>
      </c>
      <c r="R75" s="110">
        <f>'Pseudo-load coefficients'!R277</f>
        <v>14.596247945654692</v>
      </c>
      <c r="S75" s="110">
        <f>'Pseudo-load coefficients'!S277</f>
        <v>14.596247945654692</v>
      </c>
      <c r="T75" s="110">
        <f>'Pseudo-load coefficients'!T277</f>
        <v>14.596247945654692</v>
      </c>
      <c r="U75" s="110">
        <f>'Pseudo-load coefficients'!U277</f>
        <v>14.596247945654692</v>
      </c>
      <c r="V75" s="110">
        <f>'Pseudo-load coefficients'!V277</f>
        <v>14.596247945654692</v>
      </c>
      <c r="W75" s="110">
        <f>'Pseudo-load coefficients'!W277</f>
        <v>14.596247945654692</v>
      </c>
      <c r="X75" s="110">
        <f>'Pseudo-load coefficients'!X277</f>
        <v>14.596247945654692</v>
      </c>
      <c r="Y75" s="110">
        <f>'Pseudo-load coefficients'!Y277</f>
        <v>14.596247945654692</v>
      </c>
      <c r="AQ75" s="3"/>
    </row>
    <row r="76" spans="3:43" x14ac:dyDescent="0.25">
      <c r="E76" s="27"/>
      <c r="F76" t="s">
        <v>198</v>
      </c>
      <c r="G76" t="s">
        <v>284</v>
      </c>
      <c r="J76" s="110">
        <f>'Pseudo-load coefficients'!J278</f>
        <v>15.59265842543903</v>
      </c>
      <c r="K76" s="110">
        <f>'Pseudo-load coefficients'!K278</f>
        <v>15.59265842543903</v>
      </c>
      <c r="L76" s="110">
        <f>'Pseudo-load coefficients'!L278</f>
        <v>16.715348146060858</v>
      </c>
      <c r="M76" s="110">
        <f>'Pseudo-load coefficients'!M278</f>
        <v>16.715348146060858</v>
      </c>
      <c r="N76" s="110">
        <f>'Pseudo-load coefficients'!N278</f>
        <v>13.156311827427466</v>
      </c>
      <c r="O76" s="110">
        <f>'Pseudo-load coefficients'!O278</f>
        <v>12.755873578421786</v>
      </c>
      <c r="P76" s="110">
        <f>'Pseudo-load coefficients'!P278</f>
        <v>11.380704039160955</v>
      </c>
      <c r="Q76" s="110">
        <f>'Pseudo-load coefficients'!Q278</f>
        <v>33.136065754960512</v>
      </c>
      <c r="R76" s="110">
        <f>'Pseudo-load coefficients'!R278</f>
        <v>10.692887488538833</v>
      </c>
      <c r="S76" s="110">
        <f>'Pseudo-load coefficients'!S278</f>
        <v>10.692887488538833</v>
      </c>
      <c r="T76" s="110">
        <f>'Pseudo-load coefficients'!T278</f>
        <v>10.692887488538833</v>
      </c>
      <c r="U76" s="110">
        <f>'Pseudo-load coefficients'!U278</f>
        <v>10.692887488538833</v>
      </c>
      <c r="V76" s="110">
        <f>'Pseudo-load coefficients'!V278</f>
        <v>10.692887488538833</v>
      </c>
      <c r="W76" s="110">
        <f>'Pseudo-load coefficients'!W278</f>
        <v>10.692887488538833</v>
      </c>
      <c r="X76" s="110">
        <f>'Pseudo-load coefficients'!X278</f>
        <v>10.692887488538833</v>
      </c>
      <c r="Y76" s="110">
        <f>'Pseudo-load coefficients'!Y278</f>
        <v>10.692887488538833</v>
      </c>
      <c r="AQ76" s="3"/>
    </row>
    <row r="77" spans="3:43" x14ac:dyDescent="0.25">
      <c r="E77" s="27"/>
      <c r="F77" t="s">
        <v>199</v>
      </c>
      <c r="G77" t="s">
        <v>284</v>
      </c>
      <c r="J77" s="110">
        <f>'Pseudo-load coefficients'!J279</f>
        <v>15.59265842543903</v>
      </c>
      <c r="K77" s="110">
        <f>'Pseudo-load coefficients'!K279</f>
        <v>15.59265842543903</v>
      </c>
      <c r="L77" s="110">
        <f>'Pseudo-load coefficients'!L279</f>
        <v>16.715348146060858</v>
      </c>
      <c r="M77" s="110">
        <f>'Pseudo-load coefficients'!M279</f>
        <v>16.715348146060858</v>
      </c>
      <c r="N77" s="110">
        <f>'Pseudo-load coefficients'!N279</f>
        <v>13.156311827427466</v>
      </c>
      <c r="O77" s="110">
        <f>'Pseudo-load coefficients'!O279</f>
        <v>12.755873578421786</v>
      </c>
      <c r="P77" s="110">
        <f>'Pseudo-load coefficients'!P279</f>
        <v>11.380704039160955</v>
      </c>
      <c r="Q77" s="110">
        <f>'Pseudo-load coefficients'!Q279</f>
        <v>33.136065754960512</v>
      </c>
      <c r="R77" s="110">
        <f>'Pseudo-load coefficients'!R279</f>
        <v>10.692887488538833</v>
      </c>
      <c r="S77" s="110">
        <f>'Pseudo-load coefficients'!S279</f>
        <v>10.692887488538833</v>
      </c>
      <c r="T77" s="110">
        <f>'Pseudo-load coefficients'!T279</f>
        <v>10.692887488538833</v>
      </c>
      <c r="U77" s="110">
        <f>'Pseudo-load coefficients'!U279</f>
        <v>10.692887488538833</v>
      </c>
      <c r="V77" s="110">
        <f>'Pseudo-load coefficients'!V279</f>
        <v>10.692887488538833</v>
      </c>
      <c r="W77" s="110">
        <f>'Pseudo-load coefficients'!W279</f>
        <v>10.692887488538833</v>
      </c>
      <c r="X77" s="110">
        <f>'Pseudo-load coefficients'!X279</f>
        <v>10.692887488538833</v>
      </c>
      <c r="Y77" s="110">
        <f>'Pseudo-load coefficients'!Y279</f>
        <v>10.692887488538833</v>
      </c>
      <c r="AQ77" s="3"/>
    </row>
    <row r="78" spans="3:43" x14ac:dyDescent="0.25">
      <c r="E78" s="27"/>
      <c r="F78" s="28" t="s">
        <v>200</v>
      </c>
      <c r="G78" s="28" t="s">
        <v>284</v>
      </c>
      <c r="H78" s="28"/>
      <c r="I78" s="28"/>
      <c r="J78" s="115">
        <f>'Pseudo-load coefficients'!J280</f>
        <v>15.59265842543903</v>
      </c>
      <c r="K78" s="115">
        <f>'Pseudo-load coefficients'!K280</f>
        <v>15.59265842543903</v>
      </c>
      <c r="L78" s="115">
        <f>'Pseudo-load coefficients'!L280</f>
        <v>16.715348146060858</v>
      </c>
      <c r="M78" s="115">
        <f>'Pseudo-load coefficients'!M280</f>
        <v>16.715348146060858</v>
      </c>
      <c r="N78" s="115">
        <f>'Pseudo-load coefficients'!N280</f>
        <v>13.156311827427466</v>
      </c>
      <c r="O78" s="115">
        <f>'Pseudo-load coefficients'!O280</f>
        <v>12.755873578421786</v>
      </c>
      <c r="P78" s="115">
        <f>'Pseudo-load coefficients'!P280</f>
        <v>11.380704039160955</v>
      </c>
      <c r="Q78" s="115">
        <f>'Pseudo-load coefficients'!Q280</f>
        <v>33.136065754960512</v>
      </c>
      <c r="R78" s="115">
        <f>'Pseudo-load coefficients'!R280</f>
        <v>10.692887488538833</v>
      </c>
      <c r="S78" s="115">
        <f>'Pseudo-load coefficients'!S280</f>
        <v>10.692887488538833</v>
      </c>
      <c r="T78" s="115">
        <f>'Pseudo-load coefficients'!T280</f>
        <v>10.692887488538833</v>
      </c>
      <c r="U78" s="115">
        <f>'Pseudo-load coefficients'!U280</f>
        <v>10.692887488538833</v>
      </c>
      <c r="V78" s="115">
        <f>'Pseudo-load coefficients'!V280</f>
        <v>10.692887488538833</v>
      </c>
      <c r="W78" s="115">
        <f>'Pseudo-load coefficients'!W280</f>
        <v>10.692887488538833</v>
      </c>
      <c r="X78" s="115">
        <f>'Pseudo-load coefficients'!X280</f>
        <v>10.692887488538833</v>
      </c>
      <c r="Y78" s="115">
        <f>'Pseudo-load coefficients'!Y280</f>
        <v>10.692887488538833</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192</v>
      </c>
      <c r="G82" s="19" t="s">
        <v>173</v>
      </c>
      <c r="H82" s="19"/>
      <c r="I82" s="19"/>
      <c r="J82" s="148">
        <f t="shared" ref="J82:Y82" si="1">J$56 * J34 * J70 / hours_in_year / $H45</f>
        <v>1198.3450241013024</v>
      </c>
      <c r="K82" s="148">
        <f t="shared" si="1"/>
        <v>9.9795661414366243E-2</v>
      </c>
      <c r="L82" s="148">
        <f t="shared" si="1"/>
        <v>345.86153870452824</v>
      </c>
      <c r="M82" s="148">
        <f t="shared" si="1"/>
        <v>7.9089099038002944E-2</v>
      </c>
      <c r="N82" s="148">
        <f t="shared" si="1"/>
        <v>213.15463628429589</v>
      </c>
      <c r="O82" s="148">
        <f t="shared" si="1"/>
        <v>95.469572981379315</v>
      </c>
      <c r="P82" s="148">
        <f t="shared" si="1"/>
        <v>279.95803221471436</v>
      </c>
      <c r="Q82" s="148">
        <f t="shared" si="1"/>
        <v>20.627863387688564</v>
      </c>
      <c r="R82" s="148">
        <f t="shared" si="1"/>
        <v>-0.87871674301924807</v>
      </c>
      <c r="S82" s="148">
        <f t="shared" si="1"/>
        <v>0</v>
      </c>
      <c r="T82" s="148">
        <f t="shared" si="1"/>
        <v>-6.3363119645425448</v>
      </c>
      <c r="U82" s="148">
        <f t="shared" si="1"/>
        <v>0</v>
      </c>
      <c r="V82" s="148">
        <f t="shared" si="1"/>
        <v>-1.5360713123184901</v>
      </c>
      <c r="W82" s="148">
        <f t="shared" si="1"/>
        <v>0</v>
      </c>
      <c r="X82" s="148">
        <f t="shared" si="1"/>
        <v>-67.836166072737441</v>
      </c>
      <c r="Y82" s="148">
        <f t="shared" si="1"/>
        <v>0</v>
      </c>
      <c r="AQ82" s="3"/>
    </row>
    <row r="83" spans="5:43" x14ac:dyDescent="0.25">
      <c r="E83" s="27"/>
      <c r="F83" t="s">
        <v>193</v>
      </c>
      <c r="G83" t="s">
        <v>173</v>
      </c>
      <c r="J83" s="79">
        <f t="shared" ref="J83:Y83" si="2">J$56 * J35 * J71 / hours_in_year / $H46</f>
        <v>1100.6364126285673</v>
      </c>
      <c r="K83" s="79">
        <f t="shared" si="2"/>
        <v>9.1658693085805265E-2</v>
      </c>
      <c r="L83" s="79">
        <f t="shared" si="2"/>
        <v>317.66127081090843</v>
      </c>
      <c r="M83" s="79">
        <f t="shared" si="2"/>
        <v>7.2640467054548727E-2</v>
      </c>
      <c r="N83" s="79">
        <f t="shared" si="2"/>
        <v>195.77479732186217</v>
      </c>
      <c r="O83" s="79">
        <f t="shared" si="2"/>
        <v>87.685337868540117</v>
      </c>
      <c r="P83" s="79">
        <f t="shared" si="2"/>
        <v>257.13129196196178</v>
      </c>
      <c r="Q83" s="79">
        <f t="shared" si="2"/>
        <v>17.65655654379805</v>
      </c>
      <c r="R83" s="79">
        <f t="shared" si="2"/>
        <v>-0.80706943684993837</v>
      </c>
      <c r="S83" s="79">
        <f t="shared" si="2"/>
        <v>0</v>
      </c>
      <c r="T83" s="79">
        <f t="shared" si="2"/>
        <v>-5.8196725731637287</v>
      </c>
      <c r="U83" s="79">
        <f t="shared" si="2"/>
        <v>0</v>
      </c>
      <c r="V83" s="79">
        <f t="shared" si="2"/>
        <v>-1.4108257511227074</v>
      </c>
      <c r="W83" s="79">
        <f t="shared" si="2"/>
        <v>0</v>
      </c>
      <c r="X83" s="79">
        <f t="shared" si="2"/>
        <v>-62.305056533085597</v>
      </c>
      <c r="Y83" s="79">
        <f t="shared" si="2"/>
        <v>0</v>
      </c>
      <c r="AQ83" s="3"/>
    </row>
    <row r="84" spans="5:43" x14ac:dyDescent="0.25">
      <c r="E84" s="27"/>
      <c r="F84" t="s">
        <v>194</v>
      </c>
      <c r="G84" t="s">
        <v>173</v>
      </c>
      <c r="J84" s="79">
        <f t="shared" ref="J84:Y84" si="3">J$56 * J36 * J72 / hours_in_year / $H47</f>
        <v>1096.251407000565</v>
      </c>
      <c r="K84" s="79">
        <f t="shared" si="3"/>
        <v>9.1293519009766205E-2</v>
      </c>
      <c r="L84" s="79">
        <f t="shared" si="3"/>
        <v>316.39568805867373</v>
      </c>
      <c r="M84" s="79">
        <f t="shared" si="3"/>
        <v>7.2351062803335392E-2</v>
      </c>
      <c r="N84" s="79">
        <f t="shared" si="3"/>
        <v>194.99481804966351</v>
      </c>
      <c r="O84" s="79">
        <f t="shared" si="3"/>
        <v>87.335993892968247</v>
      </c>
      <c r="P84" s="79">
        <f t="shared" si="3"/>
        <v>256.10686450394599</v>
      </c>
      <c r="Q84" s="79">
        <f t="shared" si="3"/>
        <v>17.586211697010011</v>
      </c>
      <c r="R84" s="79">
        <f t="shared" si="3"/>
        <v>-0.80385402076687085</v>
      </c>
      <c r="S84" s="79">
        <f t="shared" si="3"/>
        <v>0</v>
      </c>
      <c r="T84" s="79">
        <f t="shared" si="3"/>
        <v>-5.7964866266571002</v>
      </c>
      <c r="U84" s="79">
        <f t="shared" si="3"/>
        <v>0</v>
      </c>
      <c r="V84" s="79">
        <f t="shared" si="3"/>
        <v>-1.4052049313971189</v>
      </c>
      <c r="W84" s="79">
        <f t="shared" si="3"/>
        <v>0</v>
      </c>
      <c r="X84" s="79">
        <f t="shared" si="3"/>
        <v>-62.056829216220713</v>
      </c>
      <c r="Y84" s="79">
        <f t="shared" si="3"/>
        <v>0</v>
      </c>
      <c r="AQ84" s="3"/>
    </row>
    <row r="85" spans="5:43" x14ac:dyDescent="0.25">
      <c r="E85" s="27"/>
      <c r="F85" t="s">
        <v>195</v>
      </c>
      <c r="G85" t="s">
        <v>173</v>
      </c>
      <c r="J85" s="79">
        <f t="shared" ref="J85:Y85" si="4">J$56 * J37 * J73 / hours_in_year / $H48</f>
        <v>798.31863653088965</v>
      </c>
      <c r="K85" s="79">
        <f t="shared" si="4"/>
        <v>6.648230246690652E-2</v>
      </c>
      <c r="L85" s="79">
        <f t="shared" si="4"/>
        <v>230.40752575756824</v>
      </c>
      <c r="M85" s="79">
        <f t="shared" si="4"/>
        <v>5.2687915782706672E-2</v>
      </c>
      <c r="N85" s="79">
        <f t="shared" si="4"/>
        <v>142.00027136285902</v>
      </c>
      <c r="O85" s="79">
        <f t="shared" si="4"/>
        <v>63.600330288715021</v>
      </c>
      <c r="P85" s="79">
        <f t="shared" si="4"/>
        <v>186.50364466705406</v>
      </c>
      <c r="Q85" s="79">
        <f t="shared" si="4"/>
        <v>11.993599940103802</v>
      </c>
      <c r="R85" s="79">
        <f t="shared" si="4"/>
        <v>-0.58538729504057185</v>
      </c>
      <c r="S85" s="79">
        <f t="shared" si="4"/>
        <v>0</v>
      </c>
      <c r="T85" s="79">
        <f t="shared" si="4"/>
        <v>-4.2211515268413669</v>
      </c>
      <c r="U85" s="79">
        <f t="shared" si="4"/>
        <v>0</v>
      </c>
      <c r="V85" s="79">
        <f t="shared" si="4"/>
        <v>-1.0233065861678317</v>
      </c>
      <c r="W85" s="79">
        <f t="shared" si="4"/>
        <v>0</v>
      </c>
      <c r="X85" s="79">
        <f t="shared" si="4"/>
        <v>-45.191388554631125</v>
      </c>
      <c r="Y85" s="79">
        <f t="shared" si="4"/>
        <v>0</v>
      </c>
      <c r="AQ85" s="3"/>
    </row>
    <row r="86" spans="5:43" x14ac:dyDescent="0.25">
      <c r="E86" s="27"/>
      <c r="F86" t="s">
        <v>196</v>
      </c>
      <c r="G86" t="s">
        <v>173</v>
      </c>
      <c r="J86" s="79">
        <f t="shared" ref="J86:Y86" si="5">J$56 * J38 * J74 / hours_in_year / $H49</f>
        <v>795.16945058796705</v>
      </c>
      <c r="K86" s="79">
        <f t="shared" si="5"/>
        <v>6.6220044863486774E-2</v>
      </c>
      <c r="L86" s="79">
        <f t="shared" si="5"/>
        <v>229.49862033051667</v>
      </c>
      <c r="M86" s="79">
        <f t="shared" si="5"/>
        <v>5.2480073905851812E-2</v>
      </c>
      <c r="N86" s="79">
        <f t="shared" si="5"/>
        <v>141.4401125014671</v>
      </c>
      <c r="O86" s="79">
        <f t="shared" si="5"/>
        <v>63.349441411836466</v>
      </c>
      <c r="P86" s="79">
        <f t="shared" si="5"/>
        <v>185.76793009243056</v>
      </c>
      <c r="Q86" s="79">
        <f t="shared" si="5"/>
        <v>11.946287908781894</v>
      </c>
      <c r="R86" s="79">
        <f t="shared" si="5"/>
        <v>-0.58307807494179253</v>
      </c>
      <c r="S86" s="79">
        <f t="shared" si="5"/>
        <v>0</v>
      </c>
      <c r="T86" s="79">
        <f t="shared" si="5"/>
        <v>-4.2045000415283829</v>
      </c>
      <c r="U86" s="79">
        <f t="shared" si="5"/>
        <v>0</v>
      </c>
      <c r="V86" s="79">
        <f t="shared" si="5"/>
        <v>-1.0192698737963608</v>
      </c>
      <c r="W86" s="79">
        <f t="shared" si="5"/>
        <v>0</v>
      </c>
      <c r="X86" s="79">
        <f t="shared" si="5"/>
        <v>-45.013118777295304</v>
      </c>
      <c r="Y86" s="79">
        <f t="shared" si="5"/>
        <v>0</v>
      </c>
      <c r="AQ86" s="3"/>
    </row>
    <row r="87" spans="5:43" x14ac:dyDescent="0.25">
      <c r="E87" s="27"/>
      <c r="F87" t="s">
        <v>197</v>
      </c>
      <c r="G87" t="s">
        <v>173</v>
      </c>
      <c r="J87" s="79">
        <f t="shared" ref="J87:Y87" si="6">J$56 * J39 * J75 / hours_in_year / $H50</f>
        <v>0</v>
      </c>
      <c r="K87" s="79">
        <f t="shared" si="6"/>
        <v>0</v>
      </c>
      <c r="L87" s="79">
        <f t="shared" si="6"/>
        <v>0</v>
      </c>
      <c r="M87" s="79">
        <f t="shared" si="6"/>
        <v>0</v>
      </c>
      <c r="N87" s="79">
        <f t="shared" si="6"/>
        <v>0</v>
      </c>
      <c r="O87" s="79">
        <f t="shared" si="6"/>
        <v>0</v>
      </c>
      <c r="P87" s="79">
        <f t="shared" si="6"/>
        <v>0</v>
      </c>
      <c r="Q87" s="79">
        <f t="shared" si="6"/>
        <v>0</v>
      </c>
      <c r="R87" s="79">
        <f t="shared" si="6"/>
        <v>0</v>
      </c>
      <c r="S87" s="79">
        <f t="shared" si="6"/>
        <v>0</v>
      </c>
      <c r="T87" s="79">
        <f t="shared" si="6"/>
        <v>0</v>
      </c>
      <c r="U87" s="79">
        <f t="shared" si="6"/>
        <v>0</v>
      </c>
      <c r="V87" s="79">
        <f t="shared" si="6"/>
        <v>0</v>
      </c>
      <c r="W87" s="79">
        <f t="shared" si="6"/>
        <v>0</v>
      </c>
      <c r="X87" s="79">
        <f t="shared" si="6"/>
        <v>0</v>
      </c>
      <c r="Y87" s="79">
        <f t="shared" si="6"/>
        <v>0</v>
      </c>
      <c r="AQ87" s="3"/>
    </row>
    <row r="88" spans="5:43" x14ac:dyDescent="0.25">
      <c r="E88" s="27"/>
      <c r="F88" t="s">
        <v>198</v>
      </c>
      <c r="G88" t="s">
        <v>173</v>
      </c>
      <c r="J88" s="79">
        <f t="shared" ref="J88:Y88" si="7">J$56 * J40 * J76 / hours_in_year / $H51</f>
        <v>782.0580241476224</v>
      </c>
      <c r="K88" s="79">
        <f t="shared" si="7"/>
        <v>6.5128152756135399E-2</v>
      </c>
      <c r="L88" s="79">
        <f t="shared" si="7"/>
        <v>225.71445297298152</v>
      </c>
      <c r="M88" s="79">
        <f t="shared" si="7"/>
        <v>5.1614738060653483E-2</v>
      </c>
      <c r="N88" s="79">
        <f>N$56 * N40 * N76 / hours_in_year / $H51</f>
        <v>139.10792829921206</v>
      </c>
      <c r="O88" s="79">
        <f t="shared" si="7"/>
        <v>62.304882242097172</v>
      </c>
      <c r="P88" s="79">
        <f t="shared" si="7"/>
        <v>182.70483134211892</v>
      </c>
      <c r="Q88" s="79">
        <f t="shared" si="7"/>
        <v>11.749307409801011</v>
      </c>
      <c r="R88" s="79">
        <f t="shared" si="7"/>
        <v>-0.57346379048591434</v>
      </c>
      <c r="S88" s="79">
        <f t="shared" si="7"/>
        <v>0</v>
      </c>
      <c r="T88" s="79">
        <f t="shared" si="7"/>
        <v>-4.1351726887582743</v>
      </c>
      <c r="U88" s="79">
        <f t="shared" si="7"/>
        <v>0</v>
      </c>
      <c r="V88" s="79">
        <f t="shared" si="7"/>
        <v>-1.0024632900383221</v>
      </c>
      <c r="W88" s="79">
        <f t="shared" si="7"/>
        <v>0</v>
      </c>
      <c r="X88" s="79">
        <f t="shared" si="7"/>
        <v>0</v>
      </c>
      <c r="Y88" s="79">
        <f t="shared" si="7"/>
        <v>0</v>
      </c>
      <c r="AQ88" s="3"/>
    </row>
    <row r="89" spans="5:43" x14ac:dyDescent="0.25">
      <c r="E89" s="27"/>
      <c r="F89" t="s">
        <v>199</v>
      </c>
      <c r="G89" t="s">
        <v>173</v>
      </c>
      <c r="J89" s="79">
        <f t="shared" ref="J89:Y89" si="8">J$56 * J41 * J77 / hours_in_year / $H52</f>
        <v>773.0602328822614</v>
      </c>
      <c r="K89" s="79">
        <f t="shared" si="8"/>
        <v>6.4378835562392711E-2</v>
      </c>
      <c r="L89" s="79">
        <f t="shared" si="8"/>
        <v>223.11754651499896</v>
      </c>
      <c r="M89" s="79">
        <f t="shared" si="8"/>
        <v>5.1020896395526115E-2</v>
      </c>
      <c r="N89" s="79">
        <f t="shared" si="8"/>
        <v>137.50745357285487</v>
      </c>
      <c r="O89" s="79">
        <f t="shared" si="8"/>
        <v>61.588047547077835</v>
      </c>
      <c r="P89" s="79">
        <f t="shared" si="8"/>
        <v>0</v>
      </c>
      <c r="Q89" s="79">
        <f t="shared" si="8"/>
        <v>11.614128417550184</v>
      </c>
      <c r="R89" s="79">
        <f t="shared" si="8"/>
        <v>-0.56686593287725562</v>
      </c>
      <c r="S89" s="79">
        <f t="shared" si="8"/>
        <v>0</v>
      </c>
      <c r="T89" s="79">
        <f t="shared" si="8"/>
        <v>-4.0875963970371822</v>
      </c>
      <c r="U89" s="79">
        <f t="shared" si="8"/>
        <v>0</v>
      </c>
      <c r="V89" s="79">
        <f t="shared" si="8"/>
        <v>0</v>
      </c>
      <c r="W89" s="79">
        <f t="shared" si="8"/>
        <v>0</v>
      </c>
      <c r="X89" s="79">
        <f t="shared" si="8"/>
        <v>0</v>
      </c>
      <c r="Y89" s="79">
        <f t="shared" si="8"/>
        <v>0</v>
      </c>
      <c r="AQ89" s="3"/>
    </row>
    <row r="90" spans="5:43" x14ac:dyDescent="0.25">
      <c r="E90" s="27"/>
      <c r="F90" s="28" t="s">
        <v>200</v>
      </c>
      <c r="G90" s="28" t="s">
        <v>173</v>
      </c>
      <c r="H90" s="28"/>
      <c r="I90" s="28"/>
      <c r="J90" s="72">
        <f t="shared" ref="J90:Y90" si="9">J$56 * J42 * J78 / hours_in_year / $H53</f>
        <v>762.10002164101945</v>
      </c>
      <c r="K90" s="72">
        <f t="shared" si="9"/>
        <v>6.3466092147046863E-2</v>
      </c>
      <c r="L90" s="72">
        <f t="shared" si="9"/>
        <v>219.95425426762185</v>
      </c>
      <c r="M90" s="72">
        <f t="shared" si="9"/>
        <v>5.0297537750977062E-2</v>
      </c>
      <c r="N90" s="72">
        <f t="shared" si="9"/>
        <v>135.55791500613196</v>
      </c>
      <c r="O90" s="72">
        <f t="shared" si="9"/>
        <v>0</v>
      </c>
      <c r="P90" s="72">
        <f t="shared" si="9"/>
        <v>0</v>
      </c>
      <c r="Q90" s="72">
        <f t="shared" si="9"/>
        <v>11.449466861535766</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192</v>
      </c>
      <c r="G93" s="19" t="s">
        <v>284</v>
      </c>
      <c r="H93" s="19"/>
      <c r="I93" s="19"/>
      <c r="J93" s="114">
        <f>'Pseudo-load coefficients'!J283</f>
        <v>0.19661638873466153</v>
      </c>
      <c r="K93" s="114">
        <f>'Pseudo-load coefficients'!K283</f>
        <v>0.19661638873466153</v>
      </c>
      <c r="L93" s="114">
        <f>'Pseudo-load coefficients'!L283</f>
        <v>0.21077299965471219</v>
      </c>
      <c r="M93" s="114">
        <f>'Pseudo-load coefficients'!M283</f>
        <v>0.21077299965471219</v>
      </c>
      <c r="N93" s="114">
        <f>'Pseudo-load coefficients'!N283</f>
        <v>0.16589515719498427</v>
      </c>
      <c r="O93" s="114">
        <f>'Pseudo-load coefficients'!O283</f>
        <v>0.1608458115168748</v>
      </c>
      <c r="P93" s="114">
        <f>'Pseudo-load coefficients'!P283</f>
        <v>0.14350554398005416</v>
      </c>
      <c r="Q93" s="114">
        <f>'Pseudo-load coefficients'!Q283</f>
        <v>0.23630364639837984</v>
      </c>
      <c r="R93" s="114">
        <f>'Pseudo-load coefficients'!R283</f>
        <v>0.13483248755789726</v>
      </c>
      <c r="S93" s="114">
        <f>'Pseudo-load coefficients'!S283</f>
        <v>0.13483248755789726</v>
      </c>
      <c r="T93" s="114">
        <f>'Pseudo-load coefficients'!T283</f>
        <v>0.13483248755789726</v>
      </c>
      <c r="U93" s="114">
        <f>'Pseudo-load coefficients'!U283</f>
        <v>0.13483248755789726</v>
      </c>
      <c r="V93" s="114">
        <f>'Pseudo-load coefficients'!V283</f>
        <v>0.13483248755789726</v>
      </c>
      <c r="W93" s="114">
        <f>'Pseudo-load coefficients'!W283</f>
        <v>0.13483248755789726</v>
      </c>
      <c r="X93" s="114">
        <f>'Pseudo-load coefficients'!X283</f>
        <v>0.13483248755789726</v>
      </c>
      <c r="Y93" s="114">
        <f>'Pseudo-load coefficients'!Y283</f>
        <v>0.13483248755789726</v>
      </c>
      <c r="AQ93" s="3"/>
    </row>
    <row r="94" spans="5:43" x14ac:dyDescent="0.25">
      <c r="E94" s="27"/>
      <c r="F94" t="s">
        <v>193</v>
      </c>
      <c r="G94" t="s">
        <v>284</v>
      </c>
      <c r="J94" s="110">
        <f>'Pseudo-load coefficients'!J284</f>
        <v>0.47026021699282611</v>
      </c>
      <c r="K94" s="110">
        <f>'Pseudo-load coefficients'!K284</f>
        <v>0.47026021699282611</v>
      </c>
      <c r="L94" s="110">
        <f>'Pseudo-load coefficients'!L284</f>
        <v>0.50411950494938707</v>
      </c>
      <c r="M94" s="110">
        <f>'Pseudo-load coefficients'!M284</f>
        <v>0.50411950494938707</v>
      </c>
      <c r="N94" s="110">
        <f>'Pseudo-load coefficients'!N284</f>
        <v>0.3967822475157648</v>
      </c>
      <c r="O94" s="110">
        <f>'Pseudo-load coefficients'!O284</f>
        <v>0.38470539873657172</v>
      </c>
      <c r="P94" s="110">
        <f>'Pseudo-load coefficients'!P284</f>
        <v>0.34323155198830529</v>
      </c>
      <c r="Q94" s="110">
        <f>'Pseudo-load coefficients'!Q284</f>
        <v>0.55168352863262304</v>
      </c>
      <c r="R94" s="110">
        <f>'Pseudo-load coefficients'!R284</f>
        <v>0.3224876383129367</v>
      </c>
      <c r="S94" s="110">
        <f>'Pseudo-load coefficients'!S284</f>
        <v>0.3224876383129367</v>
      </c>
      <c r="T94" s="110">
        <f>'Pseudo-load coefficients'!T284</f>
        <v>0.3224876383129367</v>
      </c>
      <c r="U94" s="110">
        <f>'Pseudo-load coefficients'!U284</f>
        <v>0.3224876383129367</v>
      </c>
      <c r="V94" s="110">
        <f>'Pseudo-load coefficients'!V284</f>
        <v>0.3224876383129367</v>
      </c>
      <c r="W94" s="110">
        <f>'Pseudo-load coefficients'!W284</f>
        <v>0.3224876383129367</v>
      </c>
      <c r="X94" s="110">
        <f>'Pseudo-load coefficients'!X284</f>
        <v>0.3224876383129367</v>
      </c>
      <c r="Y94" s="110">
        <f>'Pseudo-load coefficients'!Y284</f>
        <v>0.3224876383129367</v>
      </c>
      <c r="AQ94" s="3"/>
    </row>
    <row r="95" spans="5:43" x14ac:dyDescent="0.25">
      <c r="E95" s="27"/>
      <c r="F95" t="s">
        <v>194</v>
      </c>
      <c r="G95" t="s">
        <v>284</v>
      </c>
      <c r="J95" s="110">
        <f>'Pseudo-load coefficients'!J285</f>
        <v>0.47026021699282611</v>
      </c>
      <c r="K95" s="110">
        <f>'Pseudo-load coefficients'!K285</f>
        <v>0.47026021699282611</v>
      </c>
      <c r="L95" s="110">
        <f>'Pseudo-load coefficients'!L285</f>
        <v>0.50411950494938707</v>
      </c>
      <c r="M95" s="110">
        <f>'Pseudo-load coefficients'!M285</f>
        <v>0.50411950494938707</v>
      </c>
      <c r="N95" s="110">
        <f>'Pseudo-load coefficients'!N285</f>
        <v>0.3967822475157648</v>
      </c>
      <c r="O95" s="110">
        <f>'Pseudo-load coefficients'!O285</f>
        <v>0.38470539873657172</v>
      </c>
      <c r="P95" s="110">
        <f>'Pseudo-load coefficients'!P285</f>
        <v>0.34323155198830529</v>
      </c>
      <c r="Q95" s="110">
        <f>'Pseudo-load coefficients'!Q285</f>
        <v>0.55168352863262304</v>
      </c>
      <c r="R95" s="110">
        <f>'Pseudo-load coefficients'!R285</f>
        <v>0.3224876383129367</v>
      </c>
      <c r="S95" s="110">
        <f>'Pseudo-load coefficients'!S285</f>
        <v>0.3224876383129367</v>
      </c>
      <c r="T95" s="110">
        <f>'Pseudo-load coefficients'!T285</f>
        <v>0.3224876383129367</v>
      </c>
      <c r="U95" s="110">
        <f>'Pseudo-load coefficients'!U285</f>
        <v>0.3224876383129367</v>
      </c>
      <c r="V95" s="110">
        <f>'Pseudo-load coefficients'!V285</f>
        <v>0.3224876383129367</v>
      </c>
      <c r="W95" s="110">
        <f>'Pseudo-load coefficients'!W285</f>
        <v>0.3224876383129367</v>
      </c>
      <c r="X95" s="110">
        <f>'Pseudo-load coefficients'!X285</f>
        <v>0.3224876383129367</v>
      </c>
      <c r="Y95" s="110">
        <f>'Pseudo-load coefficients'!Y285</f>
        <v>0.3224876383129367</v>
      </c>
      <c r="AQ95" s="3"/>
    </row>
    <row r="96" spans="5:43" x14ac:dyDescent="0.25">
      <c r="E96" s="27"/>
      <c r="F96" t="s">
        <v>195</v>
      </c>
      <c r="G96" t="s">
        <v>284</v>
      </c>
      <c r="J96" s="110">
        <f>'Pseudo-load coefficients'!J286</f>
        <v>1.2059004367983037</v>
      </c>
      <c r="K96" s="110">
        <f>'Pseudo-load coefficients'!K286</f>
        <v>1.2059004367983037</v>
      </c>
      <c r="L96" s="110">
        <f>'Pseudo-load coefficients'!L286</f>
        <v>1.2927266846097771</v>
      </c>
      <c r="M96" s="110">
        <f>'Pseudo-load coefficients'!M286</f>
        <v>1.2927266846097771</v>
      </c>
      <c r="N96" s="110">
        <f>'Pseudo-load coefficients'!N286</f>
        <v>1.0174789793038621</v>
      </c>
      <c r="O96" s="110">
        <f>'Pseudo-load coefficients'!O286</f>
        <v>0.98651000363523111</v>
      </c>
      <c r="P96" s="110">
        <f>'Pseudo-load coefficients'!P286</f>
        <v>0.88015754577847105</v>
      </c>
      <c r="Q96" s="110">
        <f>'Pseudo-load coefficients'!Q286</f>
        <v>1.0708199161042518</v>
      </c>
      <c r="R96" s="110">
        <f>'Pseudo-load coefficients'!R286</f>
        <v>0.82696339143984254</v>
      </c>
      <c r="S96" s="110">
        <f>'Pseudo-load coefficients'!S286</f>
        <v>0.82696339143984254</v>
      </c>
      <c r="T96" s="110">
        <f>'Pseudo-load coefficients'!T286</f>
        <v>0.82696339143984254</v>
      </c>
      <c r="U96" s="110">
        <f>'Pseudo-load coefficients'!U286</f>
        <v>0.82696339143984254</v>
      </c>
      <c r="V96" s="110">
        <f>'Pseudo-load coefficients'!V286</f>
        <v>0.82696339143984254</v>
      </c>
      <c r="W96" s="110">
        <f>'Pseudo-load coefficients'!W286</f>
        <v>0.82696339143984254</v>
      </c>
      <c r="X96" s="110">
        <f>'Pseudo-load coefficients'!X286</f>
        <v>0.82696339143984254</v>
      </c>
      <c r="Y96" s="110">
        <f>'Pseudo-load coefficients'!Y286</f>
        <v>0.82696339143984254</v>
      </c>
      <c r="AQ96" s="3"/>
    </row>
    <row r="97" spans="5:43" x14ac:dyDescent="0.25">
      <c r="E97" s="27"/>
      <c r="F97" t="s">
        <v>196</v>
      </c>
      <c r="G97" t="s">
        <v>284</v>
      </c>
      <c r="J97" s="110">
        <f>'Pseudo-load coefficients'!J287</f>
        <v>1.2059004367983037</v>
      </c>
      <c r="K97" s="110">
        <f>'Pseudo-load coefficients'!K287</f>
        <v>1.2059004367983037</v>
      </c>
      <c r="L97" s="110">
        <f>'Pseudo-load coefficients'!L287</f>
        <v>1.2927266846097771</v>
      </c>
      <c r="M97" s="110">
        <f>'Pseudo-load coefficients'!M287</f>
        <v>1.2927266846097771</v>
      </c>
      <c r="N97" s="110">
        <f>'Pseudo-load coefficients'!N287</f>
        <v>1.0174789793038621</v>
      </c>
      <c r="O97" s="110">
        <f>'Pseudo-load coefficients'!O287</f>
        <v>0.98651000363523111</v>
      </c>
      <c r="P97" s="110">
        <f>'Pseudo-load coefficients'!P287</f>
        <v>0.88015754577847105</v>
      </c>
      <c r="Q97" s="110">
        <f>'Pseudo-load coefficients'!Q287</f>
        <v>1.0708199161042518</v>
      </c>
      <c r="R97" s="110">
        <f>'Pseudo-load coefficients'!R287</f>
        <v>0.82696339143984254</v>
      </c>
      <c r="S97" s="110">
        <f>'Pseudo-load coefficients'!S287</f>
        <v>0.82696339143984254</v>
      </c>
      <c r="T97" s="110">
        <f>'Pseudo-load coefficients'!T287</f>
        <v>0.82696339143984254</v>
      </c>
      <c r="U97" s="110">
        <f>'Pseudo-load coefficients'!U287</f>
        <v>0.82696339143984254</v>
      </c>
      <c r="V97" s="110">
        <f>'Pseudo-load coefficients'!V287</f>
        <v>0.82696339143984254</v>
      </c>
      <c r="W97" s="110">
        <f>'Pseudo-load coefficients'!W287</f>
        <v>0.82696339143984254</v>
      </c>
      <c r="X97" s="110">
        <f>'Pseudo-load coefficients'!X287</f>
        <v>0.82696339143984254</v>
      </c>
      <c r="Y97" s="110">
        <f>'Pseudo-load coefficients'!Y287</f>
        <v>0.82696339143984254</v>
      </c>
      <c r="AQ97" s="3"/>
    </row>
    <row r="98" spans="5:43" x14ac:dyDescent="0.25">
      <c r="E98" s="27"/>
      <c r="F98" t="s">
        <v>197</v>
      </c>
      <c r="G98" t="s">
        <v>284</v>
      </c>
      <c r="J98" s="110">
        <f>'Pseudo-load coefficients'!J288</f>
        <v>0.47026021699282611</v>
      </c>
      <c r="K98" s="110">
        <f>'Pseudo-load coefficients'!K288</f>
        <v>0.47026021699282611</v>
      </c>
      <c r="L98" s="110">
        <f>'Pseudo-load coefficients'!L288</f>
        <v>0.50411950494938707</v>
      </c>
      <c r="M98" s="110">
        <f>'Pseudo-load coefficients'!M288</f>
        <v>0.50411950494938707</v>
      </c>
      <c r="N98" s="110">
        <f>'Pseudo-load coefficients'!N288</f>
        <v>0.3967822475157648</v>
      </c>
      <c r="O98" s="110">
        <f>'Pseudo-load coefficients'!O288</f>
        <v>0.38470539873657172</v>
      </c>
      <c r="P98" s="110">
        <f>'Pseudo-load coefficients'!P288</f>
        <v>0.34323155198830529</v>
      </c>
      <c r="Q98" s="110">
        <f>'Pseudo-load coefficients'!Q288</f>
        <v>0.55168352863262304</v>
      </c>
      <c r="R98" s="110">
        <f>'Pseudo-load coefficients'!R288</f>
        <v>0.3224876383129367</v>
      </c>
      <c r="S98" s="110">
        <f>'Pseudo-load coefficients'!S288</f>
        <v>0.3224876383129367</v>
      </c>
      <c r="T98" s="110">
        <f>'Pseudo-load coefficients'!T288</f>
        <v>0.3224876383129367</v>
      </c>
      <c r="U98" s="110">
        <f>'Pseudo-load coefficients'!U288</f>
        <v>0.3224876383129367</v>
      </c>
      <c r="V98" s="110">
        <f>'Pseudo-load coefficients'!V288</f>
        <v>0.3224876383129367</v>
      </c>
      <c r="W98" s="110">
        <f>'Pseudo-load coefficients'!W288</f>
        <v>0.3224876383129367</v>
      </c>
      <c r="X98" s="110">
        <f>'Pseudo-load coefficients'!X288</f>
        <v>0.3224876383129367</v>
      </c>
      <c r="Y98" s="110">
        <f>'Pseudo-load coefficients'!Y288</f>
        <v>0.3224876383129367</v>
      </c>
      <c r="AQ98" s="3"/>
    </row>
    <row r="99" spans="5:43" x14ac:dyDescent="0.25">
      <c r="E99" s="27"/>
      <c r="F99" t="s">
        <v>198</v>
      </c>
      <c r="G99" t="s">
        <v>284</v>
      </c>
      <c r="J99" s="110">
        <f>'Pseudo-load coefficients'!J289</f>
        <v>1.2059004367983037</v>
      </c>
      <c r="K99" s="110">
        <f>'Pseudo-load coefficients'!K289</f>
        <v>1.2059004367983037</v>
      </c>
      <c r="L99" s="110">
        <f>'Pseudo-load coefficients'!L289</f>
        <v>1.2927266846097771</v>
      </c>
      <c r="M99" s="110">
        <f>'Pseudo-load coefficients'!M289</f>
        <v>1.2927266846097771</v>
      </c>
      <c r="N99" s="110">
        <f>'Pseudo-load coefficients'!N289</f>
        <v>1.0174789793038621</v>
      </c>
      <c r="O99" s="110">
        <f>'Pseudo-load coefficients'!O289</f>
        <v>0.98651000363523111</v>
      </c>
      <c r="P99" s="110">
        <f>'Pseudo-load coefficients'!P289</f>
        <v>0.88015754577847105</v>
      </c>
      <c r="Q99" s="110">
        <f>'Pseudo-load coefficients'!Q289</f>
        <v>1.0708199161042518</v>
      </c>
      <c r="R99" s="110">
        <f>'Pseudo-load coefficients'!R289</f>
        <v>0.82696339143984254</v>
      </c>
      <c r="S99" s="110">
        <f>'Pseudo-load coefficients'!S289</f>
        <v>0.82696339143984254</v>
      </c>
      <c r="T99" s="110">
        <f>'Pseudo-load coefficients'!T289</f>
        <v>0.82696339143984254</v>
      </c>
      <c r="U99" s="110">
        <f>'Pseudo-load coefficients'!U289</f>
        <v>0.82696339143984254</v>
      </c>
      <c r="V99" s="110">
        <f>'Pseudo-load coefficients'!V289</f>
        <v>0.82696339143984254</v>
      </c>
      <c r="W99" s="110">
        <f>'Pseudo-load coefficients'!W289</f>
        <v>0.82696339143984254</v>
      </c>
      <c r="X99" s="110">
        <f>'Pseudo-load coefficients'!X289</f>
        <v>0.82696339143984254</v>
      </c>
      <c r="Y99" s="110">
        <f>'Pseudo-load coefficients'!Y289</f>
        <v>0.82696339143984254</v>
      </c>
      <c r="AQ99" s="3"/>
    </row>
    <row r="100" spans="5:43" x14ac:dyDescent="0.25">
      <c r="E100" s="27"/>
      <c r="F100" t="s">
        <v>199</v>
      </c>
      <c r="G100" t="s">
        <v>284</v>
      </c>
      <c r="J100" s="110">
        <f>'Pseudo-load coefficients'!J290</f>
        <v>1.2059004367983037</v>
      </c>
      <c r="K100" s="110">
        <f>'Pseudo-load coefficients'!K290</f>
        <v>1.2059004367983037</v>
      </c>
      <c r="L100" s="110">
        <f>'Pseudo-load coefficients'!L290</f>
        <v>1.2927266846097771</v>
      </c>
      <c r="M100" s="110">
        <f>'Pseudo-load coefficients'!M290</f>
        <v>1.2927266846097771</v>
      </c>
      <c r="N100" s="110">
        <f>'Pseudo-load coefficients'!N290</f>
        <v>1.0174789793038621</v>
      </c>
      <c r="O100" s="110">
        <f>'Pseudo-load coefficients'!O290</f>
        <v>0.98651000363523111</v>
      </c>
      <c r="P100" s="110">
        <f>'Pseudo-load coefficients'!P290</f>
        <v>0.88015754577847105</v>
      </c>
      <c r="Q100" s="110">
        <f>'Pseudo-load coefficients'!Q290</f>
        <v>1.0708199161042518</v>
      </c>
      <c r="R100" s="110">
        <f>'Pseudo-load coefficients'!R290</f>
        <v>0.82696339143984254</v>
      </c>
      <c r="S100" s="110">
        <f>'Pseudo-load coefficients'!S290</f>
        <v>0.82696339143984254</v>
      </c>
      <c r="T100" s="110">
        <f>'Pseudo-load coefficients'!T290</f>
        <v>0.82696339143984254</v>
      </c>
      <c r="U100" s="110">
        <f>'Pseudo-load coefficients'!U290</f>
        <v>0.82696339143984254</v>
      </c>
      <c r="V100" s="110">
        <f>'Pseudo-load coefficients'!V290</f>
        <v>0.82696339143984254</v>
      </c>
      <c r="W100" s="110">
        <f>'Pseudo-load coefficients'!W290</f>
        <v>0.82696339143984254</v>
      </c>
      <c r="X100" s="110">
        <f>'Pseudo-load coefficients'!X290</f>
        <v>0.82696339143984254</v>
      </c>
      <c r="Y100" s="110">
        <f>'Pseudo-load coefficients'!Y290</f>
        <v>0.82696339143984254</v>
      </c>
      <c r="AQ100" s="3"/>
    </row>
    <row r="101" spans="5:43" x14ac:dyDescent="0.25">
      <c r="E101" s="27"/>
      <c r="F101" s="28" t="s">
        <v>200</v>
      </c>
      <c r="G101" s="28" t="s">
        <v>284</v>
      </c>
      <c r="H101" s="28"/>
      <c r="I101" s="28"/>
      <c r="J101" s="115">
        <f>'Pseudo-load coefficients'!J291</f>
        <v>1.2059004367983037</v>
      </c>
      <c r="K101" s="115">
        <f>'Pseudo-load coefficients'!K291</f>
        <v>1.2059004367983037</v>
      </c>
      <c r="L101" s="115">
        <f>'Pseudo-load coefficients'!L291</f>
        <v>1.2927266846097771</v>
      </c>
      <c r="M101" s="115">
        <f>'Pseudo-load coefficients'!M291</f>
        <v>1.2927266846097771</v>
      </c>
      <c r="N101" s="115">
        <f>'Pseudo-load coefficients'!N291</f>
        <v>1.0174789793038621</v>
      </c>
      <c r="O101" s="115">
        <f>'Pseudo-load coefficients'!O291</f>
        <v>0.98651000363523111</v>
      </c>
      <c r="P101" s="115">
        <f>'Pseudo-load coefficients'!P291</f>
        <v>0.88015754577847105</v>
      </c>
      <c r="Q101" s="115">
        <f>'Pseudo-load coefficients'!Q291</f>
        <v>1.0708199161042518</v>
      </c>
      <c r="R101" s="115">
        <f>'Pseudo-load coefficients'!R291</f>
        <v>0.82696339143984254</v>
      </c>
      <c r="S101" s="115">
        <f>'Pseudo-load coefficients'!S291</f>
        <v>0.82696339143984254</v>
      </c>
      <c r="T101" s="115">
        <f>'Pseudo-load coefficients'!T291</f>
        <v>0.82696339143984254</v>
      </c>
      <c r="U101" s="115">
        <f>'Pseudo-load coefficients'!U291</f>
        <v>0.82696339143984254</v>
      </c>
      <c r="V101" s="115">
        <f>'Pseudo-load coefficients'!V291</f>
        <v>0.82696339143984254</v>
      </c>
      <c r="W101" s="115">
        <f>'Pseudo-load coefficients'!W291</f>
        <v>0.82696339143984254</v>
      </c>
      <c r="X101" s="115">
        <f>'Pseudo-load coefficients'!X291</f>
        <v>0.82696339143984254</v>
      </c>
      <c r="Y101" s="115">
        <f>'Pseudo-load coefficients'!Y291</f>
        <v>0.82696339143984254</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192</v>
      </c>
      <c r="G105" s="19" t="s">
        <v>173</v>
      </c>
      <c r="H105" s="19"/>
      <c r="I105" s="19"/>
      <c r="J105" s="148">
        <f t="shared" ref="J105:Y105" si="10">J$57 * J34 * J93 / hours_in_year / $H45</f>
        <v>53.186742778356162</v>
      </c>
      <c r="K105" s="148">
        <f t="shared" si="10"/>
        <v>7.6993401940297454E-2</v>
      </c>
      <c r="L105" s="148">
        <f t="shared" si="10"/>
        <v>23.419444032582401</v>
      </c>
      <c r="M105" s="148">
        <f t="shared" si="10"/>
        <v>3.9189497358670063E-2</v>
      </c>
      <c r="N105" s="148">
        <f t="shared" si="10"/>
        <v>13.008930279576456</v>
      </c>
      <c r="O105" s="148">
        <f t="shared" si="10"/>
        <v>5.9351351418389244</v>
      </c>
      <c r="P105" s="148">
        <f t="shared" si="10"/>
        <v>16.492101942952164</v>
      </c>
      <c r="Q105" s="148">
        <f t="shared" si="10"/>
        <v>0.80276011801432001</v>
      </c>
      <c r="R105" s="148">
        <f t="shared" si="10"/>
        <v>-7.4273406247919282E-2</v>
      </c>
      <c r="S105" s="148">
        <f t="shared" si="10"/>
        <v>0</v>
      </c>
      <c r="T105" s="148">
        <f t="shared" si="10"/>
        <v>-0.5180507103096802</v>
      </c>
      <c r="U105" s="148">
        <f t="shared" si="10"/>
        <v>0</v>
      </c>
      <c r="V105" s="148">
        <f t="shared" si="10"/>
        <v>-0.11535325943629991</v>
      </c>
      <c r="W105" s="148">
        <f t="shared" si="10"/>
        <v>0</v>
      </c>
      <c r="X105" s="148">
        <f t="shared" si="10"/>
        <v>-4.5873031303463714</v>
      </c>
      <c r="Y105" s="148">
        <f t="shared" si="10"/>
        <v>0</v>
      </c>
      <c r="AQ105" s="3"/>
    </row>
    <row r="106" spans="5:43" x14ac:dyDescent="0.25">
      <c r="E106" s="27"/>
      <c r="F106" t="s">
        <v>193</v>
      </c>
      <c r="G106" t="s">
        <v>173</v>
      </c>
      <c r="J106" s="79">
        <f t="shared" ref="J106:Y106" si="11">J$57 * J35 * J94 / hours_in_year / $H46</f>
        <v>127.21019524900925</v>
      </c>
      <c r="K106" s="79">
        <f t="shared" si="11"/>
        <v>0.18415013181999934</v>
      </c>
      <c r="L106" s="79">
        <f t="shared" si="11"/>
        <v>56.013808937749161</v>
      </c>
      <c r="M106" s="79">
        <f t="shared" si="11"/>
        <v>9.3732072134631111E-2</v>
      </c>
      <c r="N106" s="79">
        <f t="shared" si="11"/>
        <v>31.114305452807358</v>
      </c>
      <c r="O106" s="79">
        <f t="shared" si="11"/>
        <v>14.195449105972134</v>
      </c>
      <c r="P106" s="79">
        <f t="shared" si="11"/>
        <v>39.445233880410811</v>
      </c>
      <c r="Q106" s="79">
        <f t="shared" si="11"/>
        <v>1.8741544673629609</v>
      </c>
      <c r="R106" s="79">
        <f t="shared" si="11"/>
        <v>-0.17764454104626437</v>
      </c>
      <c r="S106" s="79">
        <f t="shared" si="11"/>
        <v>0</v>
      </c>
      <c r="T106" s="79">
        <f t="shared" si="11"/>
        <v>-1.2390556098163668</v>
      </c>
      <c r="U106" s="79">
        <f t="shared" si="11"/>
        <v>0</v>
      </c>
      <c r="V106" s="79">
        <f t="shared" si="11"/>
        <v>-0.27589790028414407</v>
      </c>
      <c r="W106" s="79">
        <f t="shared" si="11"/>
        <v>0</v>
      </c>
      <c r="X106" s="79">
        <f t="shared" si="11"/>
        <v>-10.971751537964533</v>
      </c>
      <c r="Y106" s="79">
        <f t="shared" si="11"/>
        <v>0</v>
      </c>
      <c r="AQ106" s="3"/>
    </row>
    <row r="107" spans="5:43" x14ac:dyDescent="0.25">
      <c r="E107" s="27"/>
      <c r="F107" t="s">
        <v>194</v>
      </c>
      <c r="G107" t="s">
        <v>173</v>
      </c>
      <c r="J107" s="79">
        <f t="shared" ref="J107:Y107" si="12">J$57 * J36 * J95 / hours_in_year / $H47</f>
        <v>126.70338172212077</v>
      </c>
      <c r="K107" s="79">
        <f t="shared" si="12"/>
        <v>0.18341646595617464</v>
      </c>
      <c r="L107" s="79">
        <f t="shared" si="12"/>
        <v>55.790646352339799</v>
      </c>
      <c r="M107" s="79">
        <f t="shared" si="12"/>
        <v>9.3358637584293941E-2</v>
      </c>
      <c r="N107" s="79">
        <f t="shared" si="12"/>
        <v>30.990344076501351</v>
      </c>
      <c r="O107" s="79">
        <f t="shared" si="12"/>
        <v>14.138893531844754</v>
      </c>
      <c r="P107" s="79">
        <f t="shared" si="12"/>
        <v>39.288081554194036</v>
      </c>
      <c r="Q107" s="79">
        <f t="shared" si="12"/>
        <v>1.8666877164969731</v>
      </c>
      <c r="R107" s="79">
        <f t="shared" si="12"/>
        <v>-0.17693679387078123</v>
      </c>
      <c r="S107" s="79">
        <f t="shared" si="12"/>
        <v>0</v>
      </c>
      <c r="T107" s="79">
        <f t="shared" si="12"/>
        <v>-1.2341191332832337</v>
      </c>
      <c r="U107" s="79">
        <f t="shared" si="12"/>
        <v>0</v>
      </c>
      <c r="V107" s="79">
        <f t="shared" si="12"/>
        <v>-0.2747987054622949</v>
      </c>
      <c r="W107" s="79">
        <f t="shared" si="12"/>
        <v>0</v>
      </c>
      <c r="X107" s="79">
        <f t="shared" si="12"/>
        <v>-10.928039380442762</v>
      </c>
      <c r="Y107" s="79">
        <f t="shared" si="12"/>
        <v>0</v>
      </c>
      <c r="AQ107" s="3"/>
    </row>
    <row r="108" spans="5:43" x14ac:dyDescent="0.25">
      <c r="E108" s="27"/>
      <c r="F108" t="s">
        <v>195</v>
      </c>
      <c r="G108" t="s">
        <v>173</v>
      </c>
      <c r="J108" s="79">
        <f t="shared" ref="J108:Y108" si="13">J$57 * J37 * J96 / hours_in_year / $H48</f>
        <v>322.97860764425769</v>
      </c>
      <c r="K108" s="79">
        <f t="shared" si="13"/>
        <v>0.467545490802107</v>
      </c>
      <c r="L108" s="79">
        <f t="shared" si="13"/>
        <v>142.21550390794326</v>
      </c>
      <c r="M108" s="79">
        <f t="shared" si="13"/>
        <v>0.23797977898229866</v>
      </c>
      <c r="N108" s="79">
        <f t="shared" si="13"/>
        <v>78.997245726215652</v>
      </c>
      <c r="O108" s="79">
        <f t="shared" si="13"/>
        <v>36.041343841640796</v>
      </c>
      <c r="P108" s="79">
        <f t="shared" si="13"/>
        <v>100.14894397386286</v>
      </c>
      <c r="Q108" s="79">
        <f t="shared" si="13"/>
        <v>3.6017240107185873</v>
      </c>
      <c r="R108" s="79">
        <f t="shared" si="13"/>
        <v>-0.45102820894516704</v>
      </c>
      <c r="S108" s="79">
        <f t="shared" si="13"/>
        <v>0</v>
      </c>
      <c r="T108" s="79">
        <f t="shared" si="13"/>
        <v>-3.1458835109005436</v>
      </c>
      <c r="U108" s="79">
        <f t="shared" si="13"/>
        <v>0</v>
      </c>
      <c r="V108" s="79">
        <f t="shared" si="13"/>
        <v>-0.70048724877215462</v>
      </c>
      <c r="W108" s="79">
        <f t="shared" si="13"/>
        <v>0</v>
      </c>
      <c r="X108" s="79">
        <f t="shared" si="13"/>
        <v>-27.856580427488392</v>
      </c>
      <c r="Y108" s="79">
        <f t="shared" si="13"/>
        <v>0</v>
      </c>
      <c r="AQ108" s="3"/>
    </row>
    <row r="109" spans="5:43" x14ac:dyDescent="0.25">
      <c r="E109" s="27"/>
      <c r="F109" t="s">
        <v>196</v>
      </c>
      <c r="G109" t="s">
        <v>173</v>
      </c>
      <c r="J109" s="79">
        <f t="shared" ref="J109:Y109" si="14">J$57 * J38 * J97 / hours_in_year / $H49</f>
        <v>321.70453029654857</v>
      </c>
      <c r="K109" s="79">
        <f t="shared" si="14"/>
        <v>0.46570112989164503</v>
      </c>
      <c r="L109" s="79">
        <f t="shared" si="14"/>
        <v>141.65449600298095</v>
      </c>
      <c r="M109" s="79">
        <f t="shared" si="14"/>
        <v>0.23704100273384779</v>
      </c>
      <c r="N109" s="79">
        <f t="shared" si="14"/>
        <v>78.68561951033314</v>
      </c>
      <c r="O109" s="79">
        <f t="shared" si="14"/>
        <v>35.899168915243791</v>
      </c>
      <c r="P109" s="79">
        <f t="shared" si="14"/>
        <v>99.753879106115861</v>
      </c>
      <c r="Q109" s="79">
        <f t="shared" si="14"/>
        <v>3.5875160264553974</v>
      </c>
      <c r="R109" s="79">
        <f t="shared" si="14"/>
        <v>-0.44924900496510722</v>
      </c>
      <c r="S109" s="79">
        <f t="shared" si="14"/>
        <v>0</v>
      </c>
      <c r="T109" s="79">
        <f t="shared" si="14"/>
        <v>-3.1334737140133617</v>
      </c>
      <c r="U109" s="79">
        <f t="shared" si="14"/>
        <v>0</v>
      </c>
      <c r="V109" s="79">
        <f t="shared" si="14"/>
        <v>-0.69772398546338865</v>
      </c>
      <c r="W109" s="79">
        <f t="shared" si="14"/>
        <v>0</v>
      </c>
      <c r="X109" s="79">
        <f t="shared" si="14"/>
        <v>-27.746692536255697</v>
      </c>
      <c r="Y109" s="79">
        <f t="shared" si="14"/>
        <v>0</v>
      </c>
      <c r="AQ109" s="3"/>
    </row>
    <row r="110" spans="5:43" x14ac:dyDescent="0.25">
      <c r="E110" s="27"/>
      <c r="F110" t="s">
        <v>197</v>
      </c>
      <c r="G110" t="s">
        <v>173</v>
      </c>
      <c r="J110" s="79">
        <f t="shared" ref="J110:Y110" si="15">J$57 * J39 * J98 / hours_in_year / $H50</f>
        <v>0</v>
      </c>
      <c r="K110" s="79">
        <f t="shared" si="15"/>
        <v>0</v>
      </c>
      <c r="L110" s="79">
        <f t="shared" si="15"/>
        <v>0</v>
      </c>
      <c r="M110" s="79">
        <f t="shared" si="15"/>
        <v>0</v>
      </c>
      <c r="N110" s="79">
        <f t="shared" si="15"/>
        <v>0</v>
      </c>
      <c r="O110" s="79">
        <f t="shared" si="15"/>
        <v>0</v>
      </c>
      <c r="P110" s="79">
        <f t="shared" si="15"/>
        <v>0</v>
      </c>
      <c r="Q110" s="79">
        <f t="shared" si="15"/>
        <v>0</v>
      </c>
      <c r="R110" s="79">
        <f t="shared" si="15"/>
        <v>0</v>
      </c>
      <c r="S110" s="79">
        <f t="shared" si="15"/>
        <v>0</v>
      </c>
      <c r="T110" s="79">
        <f t="shared" si="15"/>
        <v>0</v>
      </c>
      <c r="U110" s="79">
        <f t="shared" si="15"/>
        <v>0</v>
      </c>
      <c r="V110" s="79">
        <f t="shared" si="15"/>
        <v>0</v>
      </c>
      <c r="W110" s="79">
        <f t="shared" si="15"/>
        <v>0</v>
      </c>
      <c r="X110" s="79">
        <f t="shared" si="15"/>
        <v>0</v>
      </c>
      <c r="Y110" s="79">
        <f t="shared" si="15"/>
        <v>0</v>
      </c>
      <c r="AQ110" s="3"/>
    </row>
    <row r="111" spans="5:43" x14ac:dyDescent="0.25">
      <c r="E111" s="27"/>
      <c r="F111" t="s">
        <v>198</v>
      </c>
      <c r="G111" t="s">
        <v>173</v>
      </c>
      <c r="J111" s="79">
        <f t="shared" ref="J111:Y111" si="16">J$57 * J40 * J99 / hours_in_year / $H51</f>
        <v>316.39999390950561</v>
      </c>
      <c r="K111" s="79">
        <f t="shared" si="16"/>
        <v>0.4580222557809196</v>
      </c>
      <c r="L111" s="79">
        <f t="shared" si="16"/>
        <v>139.31877686423152</v>
      </c>
      <c r="M111" s="79">
        <f t="shared" si="16"/>
        <v>0.2331324701960443</v>
      </c>
      <c r="N111" s="79">
        <f t="shared" si="16"/>
        <v>77.388184465060917</v>
      </c>
      <c r="O111" s="79">
        <f t="shared" si="16"/>
        <v>35.307233055341619</v>
      </c>
      <c r="P111" s="79">
        <f t="shared" si="16"/>
        <v>98.109052777499031</v>
      </c>
      <c r="Q111" s="79">
        <f t="shared" si="16"/>
        <v>3.5283620279590431</v>
      </c>
      <c r="R111" s="79">
        <f t="shared" si="16"/>
        <v>-0.44184140740506184</v>
      </c>
      <c r="S111" s="79">
        <f t="shared" si="16"/>
        <v>0</v>
      </c>
      <c r="T111" s="79">
        <f t="shared" si="16"/>
        <v>-3.0818063491848195</v>
      </c>
      <c r="U111" s="79">
        <f t="shared" si="16"/>
        <v>0</v>
      </c>
      <c r="V111" s="79">
        <f t="shared" si="16"/>
        <v>-0.68621932226952109</v>
      </c>
      <c r="W111" s="79">
        <f t="shared" si="16"/>
        <v>0</v>
      </c>
      <c r="X111" s="79">
        <f t="shared" si="16"/>
        <v>0</v>
      </c>
      <c r="Y111" s="79">
        <f t="shared" si="16"/>
        <v>0</v>
      </c>
      <c r="AQ111" s="3"/>
    </row>
    <row r="112" spans="5:43" x14ac:dyDescent="0.25">
      <c r="E112" s="27"/>
      <c r="F112" t="s">
        <v>199</v>
      </c>
      <c r="G112" t="s">
        <v>173</v>
      </c>
      <c r="J112" s="79">
        <f t="shared" ref="J112:Y112" si="17">J$57 * J41 * J100 / hours_in_year / $H52</f>
        <v>312.75972552320258</v>
      </c>
      <c r="K112" s="79">
        <f t="shared" si="17"/>
        <v>0.45275258457346895</v>
      </c>
      <c r="L112" s="79">
        <f t="shared" si="17"/>
        <v>137.71587626751938</v>
      </c>
      <c r="M112" s="79">
        <f t="shared" si="17"/>
        <v>0.23045021742293545</v>
      </c>
      <c r="N112" s="79">
        <f t="shared" si="17"/>
        <v>76.497812256450445</v>
      </c>
      <c r="O112" s="79">
        <f t="shared" si="17"/>
        <v>34.901013691330014</v>
      </c>
      <c r="P112" s="79">
        <f t="shared" si="17"/>
        <v>0</v>
      </c>
      <c r="Q112" s="79">
        <f t="shared" si="17"/>
        <v>3.4877672587016044</v>
      </c>
      <c r="R112" s="79">
        <f t="shared" si="17"/>
        <v>-0.43675790127959613</v>
      </c>
      <c r="S112" s="79">
        <f t="shared" si="17"/>
        <v>0</v>
      </c>
      <c r="T112" s="79">
        <f t="shared" si="17"/>
        <v>-3.0463493250331246</v>
      </c>
      <c r="U112" s="79">
        <f t="shared" si="17"/>
        <v>0</v>
      </c>
      <c r="V112" s="79">
        <f t="shared" si="17"/>
        <v>0</v>
      </c>
      <c r="W112" s="79">
        <f t="shared" si="17"/>
        <v>0</v>
      </c>
      <c r="X112" s="79">
        <f t="shared" si="17"/>
        <v>0</v>
      </c>
      <c r="Y112" s="79">
        <f t="shared" si="17"/>
        <v>0</v>
      </c>
      <c r="AQ112" s="3"/>
    </row>
    <row r="113" spans="5:43" x14ac:dyDescent="0.25">
      <c r="E113" s="27"/>
      <c r="F113" s="28" t="s">
        <v>200</v>
      </c>
      <c r="G113" s="28" t="s">
        <v>173</v>
      </c>
      <c r="H113" s="28"/>
      <c r="I113" s="28"/>
      <c r="J113" s="72">
        <f t="shared" ref="J113:Y113" si="18">J$57 * J42 * J101 / hours_in_year / $H53</f>
        <v>308.32551391370532</v>
      </c>
      <c r="K113" s="72">
        <f t="shared" si="18"/>
        <v>0.44633359707951609</v>
      </c>
      <c r="L113" s="72">
        <f t="shared" si="18"/>
        <v>135.76338274765848</v>
      </c>
      <c r="M113" s="72">
        <f t="shared" si="18"/>
        <v>0.22718296481296943</v>
      </c>
      <c r="N113" s="72">
        <f t="shared" si="18"/>
        <v>75.413249700829681</v>
      </c>
      <c r="O113" s="72">
        <f t="shared" si="18"/>
        <v>0</v>
      </c>
      <c r="P113" s="72">
        <f t="shared" si="18"/>
        <v>0</v>
      </c>
      <c r="Q113" s="72">
        <f t="shared" si="18"/>
        <v>3.4383187625952485</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192</v>
      </c>
      <c r="G116" s="19" t="s">
        <v>284</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193</v>
      </c>
      <c r="G117" t="s">
        <v>284</v>
      </c>
      <c r="J117" s="110">
        <f>'Pseudo-load coefficients'!J295</f>
        <v>9.1591342204309419E-3</v>
      </c>
      <c r="K117" s="110">
        <f>'Pseudo-load coefficients'!K295</f>
        <v>9.1591342204309419E-3</v>
      </c>
      <c r="L117" s="110">
        <f>'Pseudo-load coefficients'!L295</f>
        <v>9.818602641947647E-3</v>
      </c>
      <c r="M117" s="110">
        <f>'Pseudo-load coefficients'!M295</f>
        <v>9.818602641947647E-3</v>
      </c>
      <c r="N117" s="110">
        <f>'Pseudo-load coefficients'!N295</f>
        <v>7.7280231879291233E-3</v>
      </c>
      <c r="O117" s="110">
        <f>'Pseudo-load coefficients'!O295</f>
        <v>7.4928055893922598E-3</v>
      </c>
      <c r="P117" s="110">
        <f>'Pseudo-load coefficients'!P295</f>
        <v>6.6850304145452876E-3</v>
      </c>
      <c r="Q117" s="110">
        <f>'Pseudo-load coefficients'!Q295</f>
        <v>6.7959006030125823E-3</v>
      </c>
      <c r="R117" s="110">
        <f>'Pseudo-load coefficients'!R295</f>
        <v>6.2810066788682537E-3</v>
      </c>
      <c r="S117" s="110">
        <f>'Pseudo-load coefficients'!S295</f>
        <v>6.2810066788682537E-3</v>
      </c>
      <c r="T117" s="110">
        <f>'Pseudo-load coefficients'!T295</f>
        <v>6.2810066788682537E-3</v>
      </c>
      <c r="U117" s="110">
        <f>'Pseudo-load coefficients'!U295</f>
        <v>6.2810066788682537E-3</v>
      </c>
      <c r="V117" s="110">
        <f>'Pseudo-load coefficients'!V295</f>
        <v>6.2810066788682537E-3</v>
      </c>
      <c r="W117" s="110">
        <f>'Pseudo-load coefficients'!W295</f>
        <v>6.2810066788682537E-3</v>
      </c>
      <c r="X117" s="110">
        <f>'Pseudo-load coefficients'!X295</f>
        <v>6.2810066788682537E-3</v>
      </c>
      <c r="Y117" s="110">
        <f>'Pseudo-load coefficients'!Y295</f>
        <v>6.2810066788682537E-3</v>
      </c>
      <c r="AQ117" s="3"/>
    </row>
    <row r="118" spans="5:43" x14ac:dyDescent="0.25">
      <c r="E118" s="27"/>
      <c r="F118" t="s">
        <v>194</v>
      </c>
      <c r="G118" t="s">
        <v>284</v>
      </c>
      <c r="J118" s="110">
        <f>'Pseudo-load coefficients'!J296</f>
        <v>9.1591342204309419E-3</v>
      </c>
      <c r="K118" s="110">
        <f>'Pseudo-load coefficients'!K296</f>
        <v>9.1591342204309419E-3</v>
      </c>
      <c r="L118" s="110">
        <f>'Pseudo-load coefficients'!L296</f>
        <v>9.818602641947647E-3</v>
      </c>
      <c r="M118" s="110">
        <f>'Pseudo-load coefficients'!M296</f>
        <v>9.818602641947647E-3</v>
      </c>
      <c r="N118" s="110">
        <f>'Pseudo-load coefficients'!N296</f>
        <v>7.7280231879291233E-3</v>
      </c>
      <c r="O118" s="110">
        <f>'Pseudo-load coefficients'!O296</f>
        <v>7.4928055893922598E-3</v>
      </c>
      <c r="P118" s="110">
        <f>'Pseudo-load coefficients'!P296</f>
        <v>6.6850304145452876E-3</v>
      </c>
      <c r="Q118" s="110">
        <f>'Pseudo-load coefficients'!Q296</f>
        <v>6.7959006030125823E-3</v>
      </c>
      <c r="R118" s="110">
        <f>'Pseudo-load coefficients'!R296</f>
        <v>6.2810066788682537E-3</v>
      </c>
      <c r="S118" s="110">
        <f>'Pseudo-load coefficients'!S296</f>
        <v>6.2810066788682537E-3</v>
      </c>
      <c r="T118" s="110">
        <f>'Pseudo-load coefficients'!T296</f>
        <v>6.2810066788682537E-3</v>
      </c>
      <c r="U118" s="110">
        <f>'Pseudo-load coefficients'!U296</f>
        <v>6.2810066788682537E-3</v>
      </c>
      <c r="V118" s="110">
        <f>'Pseudo-load coefficients'!V296</f>
        <v>6.2810066788682537E-3</v>
      </c>
      <c r="W118" s="110">
        <f>'Pseudo-load coefficients'!W296</f>
        <v>6.2810066788682537E-3</v>
      </c>
      <c r="X118" s="110">
        <f>'Pseudo-load coefficients'!X296</f>
        <v>6.2810066788682537E-3</v>
      </c>
      <c r="Y118" s="110">
        <f>'Pseudo-load coefficients'!Y296</f>
        <v>6.2810066788682537E-3</v>
      </c>
      <c r="AQ118" s="3"/>
    </row>
    <row r="119" spans="5:43" x14ac:dyDescent="0.25">
      <c r="E119" s="27"/>
      <c r="F119" t="s">
        <v>195</v>
      </c>
      <c r="G119" t="s">
        <v>284</v>
      </c>
      <c r="J119" s="110">
        <f>'Pseudo-load coefficients'!J297</f>
        <v>0.10045487811227319</v>
      </c>
      <c r="K119" s="110">
        <f>'Pseudo-load coefficients'!K297</f>
        <v>0.10045487811227319</v>
      </c>
      <c r="L119" s="110">
        <f>'Pseudo-load coefficients'!L297</f>
        <v>0.10768774732327127</v>
      </c>
      <c r="M119" s="110">
        <f>'Pseudo-load coefficients'!M297</f>
        <v>0.10768774732327127</v>
      </c>
      <c r="N119" s="110">
        <f>'Pseudo-load coefficients'!N297</f>
        <v>8.4758843872004622E-2</v>
      </c>
      <c r="O119" s="110">
        <f>'Pseudo-load coefficients'!O297</f>
        <v>8.2179041608797868E-2</v>
      </c>
      <c r="P119" s="110">
        <f>'Pseudo-load coefficients'!P297</f>
        <v>7.331958450526882E-2</v>
      </c>
      <c r="Q119" s="110">
        <f>'Pseudo-load coefficients'!Q297</f>
        <v>7.4535578397346855E-2</v>
      </c>
      <c r="R119" s="110">
        <f>'Pseudo-load coefficients'!R297</f>
        <v>6.8888362716710727E-2</v>
      </c>
      <c r="S119" s="110">
        <f>'Pseudo-load coefficients'!S297</f>
        <v>6.8888362716710727E-2</v>
      </c>
      <c r="T119" s="110">
        <f>'Pseudo-load coefficients'!T297</f>
        <v>6.8888362716710727E-2</v>
      </c>
      <c r="U119" s="110">
        <f>'Pseudo-load coefficients'!U297</f>
        <v>6.8888362716710727E-2</v>
      </c>
      <c r="V119" s="110">
        <f>'Pseudo-load coefficients'!V297</f>
        <v>6.8888362716710727E-2</v>
      </c>
      <c r="W119" s="110">
        <f>'Pseudo-load coefficients'!W297</f>
        <v>6.8888362716710727E-2</v>
      </c>
      <c r="X119" s="110">
        <f>'Pseudo-load coefficients'!X297</f>
        <v>6.8888362716710727E-2</v>
      </c>
      <c r="Y119" s="110">
        <f>'Pseudo-load coefficients'!Y297</f>
        <v>6.8888362716710727E-2</v>
      </c>
      <c r="AQ119" s="3"/>
    </row>
    <row r="120" spans="5:43" x14ac:dyDescent="0.25">
      <c r="E120" s="27"/>
      <c r="F120" t="s">
        <v>196</v>
      </c>
      <c r="G120" t="s">
        <v>284</v>
      </c>
      <c r="J120" s="110">
        <f>'Pseudo-load coefficients'!J298</f>
        <v>0.10045487811227319</v>
      </c>
      <c r="K120" s="110">
        <f>'Pseudo-load coefficients'!K298</f>
        <v>0.10045487811227319</v>
      </c>
      <c r="L120" s="110">
        <f>'Pseudo-load coefficients'!L298</f>
        <v>0.10768774732327127</v>
      </c>
      <c r="M120" s="110">
        <f>'Pseudo-load coefficients'!M298</f>
        <v>0.10768774732327127</v>
      </c>
      <c r="N120" s="110">
        <f>'Pseudo-load coefficients'!N298</f>
        <v>8.4758843872004622E-2</v>
      </c>
      <c r="O120" s="110">
        <f>'Pseudo-load coefficients'!O298</f>
        <v>8.2179041608797868E-2</v>
      </c>
      <c r="P120" s="110">
        <f>'Pseudo-load coefficients'!P298</f>
        <v>7.331958450526882E-2</v>
      </c>
      <c r="Q120" s="110">
        <f>'Pseudo-load coefficients'!Q298</f>
        <v>7.4535578397346855E-2</v>
      </c>
      <c r="R120" s="110">
        <f>'Pseudo-load coefficients'!R298</f>
        <v>6.8888362716710727E-2</v>
      </c>
      <c r="S120" s="110">
        <f>'Pseudo-load coefficients'!S298</f>
        <v>6.8888362716710727E-2</v>
      </c>
      <c r="T120" s="110">
        <f>'Pseudo-load coefficients'!T298</f>
        <v>6.8888362716710727E-2</v>
      </c>
      <c r="U120" s="110">
        <f>'Pseudo-load coefficients'!U298</f>
        <v>6.8888362716710727E-2</v>
      </c>
      <c r="V120" s="110">
        <f>'Pseudo-load coefficients'!V298</f>
        <v>6.8888362716710727E-2</v>
      </c>
      <c r="W120" s="110">
        <f>'Pseudo-load coefficients'!W298</f>
        <v>6.8888362716710727E-2</v>
      </c>
      <c r="X120" s="110">
        <f>'Pseudo-load coefficients'!X298</f>
        <v>6.8888362716710727E-2</v>
      </c>
      <c r="Y120" s="110">
        <f>'Pseudo-load coefficients'!Y298</f>
        <v>6.8888362716710727E-2</v>
      </c>
      <c r="AQ120" s="3"/>
    </row>
    <row r="121" spans="5:43" x14ac:dyDescent="0.25">
      <c r="E121" s="27"/>
      <c r="F121" t="s">
        <v>197</v>
      </c>
      <c r="G121" t="s">
        <v>284</v>
      </c>
      <c r="J121" s="110">
        <f>'Pseudo-load coefficients'!J299</f>
        <v>9.1591342204309419E-3</v>
      </c>
      <c r="K121" s="110">
        <f>'Pseudo-load coefficients'!K299</f>
        <v>9.1591342204309419E-3</v>
      </c>
      <c r="L121" s="110">
        <f>'Pseudo-load coefficients'!L299</f>
        <v>9.818602641947647E-3</v>
      </c>
      <c r="M121" s="110">
        <f>'Pseudo-load coefficients'!M299</f>
        <v>9.818602641947647E-3</v>
      </c>
      <c r="N121" s="110">
        <f>'Pseudo-load coefficients'!N299</f>
        <v>7.7280231879291233E-3</v>
      </c>
      <c r="O121" s="110">
        <f>'Pseudo-load coefficients'!O299</f>
        <v>7.4928055893922598E-3</v>
      </c>
      <c r="P121" s="110">
        <f>'Pseudo-load coefficients'!P299</f>
        <v>6.6850304145452876E-3</v>
      </c>
      <c r="Q121" s="110">
        <f>'Pseudo-load coefficients'!Q299</f>
        <v>6.7959006030125823E-3</v>
      </c>
      <c r="R121" s="110">
        <f>'Pseudo-load coefficients'!R299</f>
        <v>6.2810066788682537E-3</v>
      </c>
      <c r="S121" s="110">
        <f>'Pseudo-load coefficients'!S299</f>
        <v>6.2810066788682537E-3</v>
      </c>
      <c r="T121" s="110">
        <f>'Pseudo-load coefficients'!T299</f>
        <v>6.2810066788682537E-3</v>
      </c>
      <c r="U121" s="110">
        <f>'Pseudo-load coefficients'!U299</f>
        <v>6.2810066788682537E-3</v>
      </c>
      <c r="V121" s="110">
        <f>'Pseudo-load coefficients'!V299</f>
        <v>6.2810066788682537E-3</v>
      </c>
      <c r="W121" s="110">
        <f>'Pseudo-load coefficients'!W299</f>
        <v>6.2810066788682537E-3</v>
      </c>
      <c r="X121" s="110">
        <f>'Pseudo-load coefficients'!X299</f>
        <v>6.2810066788682537E-3</v>
      </c>
      <c r="Y121" s="110">
        <f>'Pseudo-load coefficients'!Y299</f>
        <v>6.2810066788682537E-3</v>
      </c>
      <c r="AQ121" s="3"/>
    </row>
    <row r="122" spans="5:43" x14ac:dyDescent="0.25">
      <c r="E122" s="27"/>
      <c r="F122" t="s">
        <v>198</v>
      </c>
      <c r="G122" t="s">
        <v>284</v>
      </c>
      <c r="J122" s="110">
        <f>'Pseudo-load coefficients'!J300</f>
        <v>0.10045487811227319</v>
      </c>
      <c r="K122" s="110">
        <f>'Pseudo-load coefficients'!K300</f>
        <v>0.10045487811227319</v>
      </c>
      <c r="L122" s="110">
        <f>'Pseudo-load coefficients'!L300</f>
        <v>0.10768774732327127</v>
      </c>
      <c r="M122" s="110">
        <f>'Pseudo-load coefficients'!M300</f>
        <v>0.10768774732327127</v>
      </c>
      <c r="N122" s="110">
        <f>'Pseudo-load coefficients'!N300</f>
        <v>8.4758843872004622E-2</v>
      </c>
      <c r="O122" s="110">
        <f>'Pseudo-load coefficients'!O300</f>
        <v>8.2179041608797868E-2</v>
      </c>
      <c r="P122" s="110">
        <f>'Pseudo-load coefficients'!P300</f>
        <v>7.331958450526882E-2</v>
      </c>
      <c r="Q122" s="110">
        <f>'Pseudo-load coefficients'!Q300</f>
        <v>7.4535578397346855E-2</v>
      </c>
      <c r="R122" s="110">
        <f>'Pseudo-load coefficients'!R300</f>
        <v>6.8888362716710727E-2</v>
      </c>
      <c r="S122" s="110">
        <f>'Pseudo-load coefficients'!S300</f>
        <v>6.8888362716710727E-2</v>
      </c>
      <c r="T122" s="110">
        <f>'Pseudo-load coefficients'!T300</f>
        <v>6.8888362716710727E-2</v>
      </c>
      <c r="U122" s="110">
        <f>'Pseudo-load coefficients'!U300</f>
        <v>6.8888362716710727E-2</v>
      </c>
      <c r="V122" s="110">
        <f>'Pseudo-load coefficients'!V300</f>
        <v>6.8888362716710727E-2</v>
      </c>
      <c r="W122" s="110">
        <f>'Pseudo-load coefficients'!W300</f>
        <v>6.8888362716710727E-2</v>
      </c>
      <c r="X122" s="110">
        <f>'Pseudo-load coefficients'!X300</f>
        <v>6.8888362716710727E-2</v>
      </c>
      <c r="Y122" s="110">
        <f>'Pseudo-load coefficients'!Y300</f>
        <v>6.8888362716710727E-2</v>
      </c>
      <c r="AQ122" s="3"/>
    </row>
    <row r="123" spans="5:43" x14ac:dyDescent="0.25">
      <c r="E123" s="27"/>
      <c r="F123" t="s">
        <v>199</v>
      </c>
      <c r="G123" t="s">
        <v>284</v>
      </c>
      <c r="J123" s="110">
        <f>'Pseudo-load coefficients'!J301</f>
        <v>0.10045487811227319</v>
      </c>
      <c r="K123" s="110">
        <f>'Pseudo-load coefficients'!K301</f>
        <v>0.10045487811227319</v>
      </c>
      <c r="L123" s="110">
        <f>'Pseudo-load coefficients'!L301</f>
        <v>0.10768774732327127</v>
      </c>
      <c r="M123" s="110">
        <f>'Pseudo-load coefficients'!M301</f>
        <v>0.10768774732327127</v>
      </c>
      <c r="N123" s="110">
        <f>'Pseudo-load coefficients'!N301</f>
        <v>8.4758843872004622E-2</v>
      </c>
      <c r="O123" s="110">
        <f>'Pseudo-load coefficients'!O301</f>
        <v>8.2179041608797868E-2</v>
      </c>
      <c r="P123" s="110">
        <f>'Pseudo-load coefficients'!P301</f>
        <v>7.331958450526882E-2</v>
      </c>
      <c r="Q123" s="110">
        <f>'Pseudo-load coefficients'!Q301</f>
        <v>7.4535578397346855E-2</v>
      </c>
      <c r="R123" s="110">
        <f>'Pseudo-load coefficients'!R301</f>
        <v>6.8888362716710727E-2</v>
      </c>
      <c r="S123" s="110">
        <f>'Pseudo-load coefficients'!S301</f>
        <v>6.8888362716710727E-2</v>
      </c>
      <c r="T123" s="110">
        <f>'Pseudo-load coefficients'!T301</f>
        <v>6.8888362716710727E-2</v>
      </c>
      <c r="U123" s="110">
        <f>'Pseudo-load coefficients'!U301</f>
        <v>6.8888362716710727E-2</v>
      </c>
      <c r="V123" s="110">
        <f>'Pseudo-load coefficients'!V301</f>
        <v>6.8888362716710727E-2</v>
      </c>
      <c r="W123" s="110">
        <f>'Pseudo-load coefficients'!W301</f>
        <v>6.8888362716710727E-2</v>
      </c>
      <c r="X123" s="110">
        <f>'Pseudo-load coefficients'!X301</f>
        <v>6.8888362716710727E-2</v>
      </c>
      <c r="Y123" s="110">
        <f>'Pseudo-load coefficients'!Y301</f>
        <v>6.8888362716710727E-2</v>
      </c>
      <c r="AQ123" s="3"/>
    </row>
    <row r="124" spans="5:43" x14ac:dyDescent="0.25">
      <c r="E124" s="27"/>
      <c r="F124" s="28" t="s">
        <v>200</v>
      </c>
      <c r="G124" s="28" t="s">
        <v>284</v>
      </c>
      <c r="H124" s="28"/>
      <c r="I124" s="28"/>
      <c r="J124" s="115">
        <f>'Pseudo-load coefficients'!J302</f>
        <v>0.10045487811227319</v>
      </c>
      <c r="K124" s="115">
        <f>'Pseudo-load coefficients'!K302</f>
        <v>0.10045487811227319</v>
      </c>
      <c r="L124" s="115">
        <f>'Pseudo-load coefficients'!L302</f>
        <v>0.10768774732327127</v>
      </c>
      <c r="M124" s="115">
        <f>'Pseudo-load coefficients'!M302</f>
        <v>0.10768774732327127</v>
      </c>
      <c r="N124" s="115">
        <f>'Pseudo-load coefficients'!N302</f>
        <v>8.4758843872004622E-2</v>
      </c>
      <c r="O124" s="115">
        <f>'Pseudo-load coefficients'!O302</f>
        <v>8.2179041608797868E-2</v>
      </c>
      <c r="P124" s="115">
        <f>'Pseudo-load coefficients'!P302</f>
        <v>7.331958450526882E-2</v>
      </c>
      <c r="Q124" s="115">
        <f>'Pseudo-load coefficients'!Q302</f>
        <v>7.4535578397346855E-2</v>
      </c>
      <c r="R124" s="115">
        <f>'Pseudo-load coefficients'!R302</f>
        <v>6.8888362716710727E-2</v>
      </c>
      <c r="S124" s="115">
        <f>'Pseudo-load coefficients'!S302</f>
        <v>6.8888362716710727E-2</v>
      </c>
      <c r="T124" s="115">
        <f>'Pseudo-load coefficients'!T302</f>
        <v>6.8888362716710727E-2</v>
      </c>
      <c r="U124" s="115">
        <f>'Pseudo-load coefficients'!U302</f>
        <v>6.8888362716710727E-2</v>
      </c>
      <c r="V124" s="115">
        <f>'Pseudo-load coefficients'!V302</f>
        <v>6.8888362716710727E-2</v>
      </c>
      <c r="W124" s="115">
        <f>'Pseudo-load coefficients'!W302</f>
        <v>6.8888362716710727E-2</v>
      </c>
      <c r="X124" s="115">
        <f>'Pseudo-load coefficients'!X302</f>
        <v>6.8888362716710727E-2</v>
      </c>
      <c r="Y124" s="115">
        <f>'Pseudo-load coefficients'!Y302</f>
        <v>6.8888362716710727E-2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192</v>
      </c>
      <c r="G128" s="19" t="s">
        <v>173</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193</v>
      </c>
      <c r="G129" t="s">
        <v>173</v>
      </c>
      <c r="J129" s="79">
        <f t="shared" ref="J129:Y129" si="20">J$58 * J35 * J117 / hours_in_year / $H46</f>
        <v>2.7728653889573818</v>
      </c>
      <c r="K129" s="79">
        <f t="shared" si="20"/>
        <v>2.8704284007576665E-2</v>
      </c>
      <c r="L129" s="79">
        <f t="shared" si="20"/>
        <v>0.92953774889751839</v>
      </c>
      <c r="M129" s="79">
        <f t="shared" si="20"/>
        <v>1.2785122964729176E-2</v>
      </c>
      <c r="N129" s="79">
        <f t="shared" si="20"/>
        <v>0.54051665843246188</v>
      </c>
      <c r="O129" s="79">
        <f t="shared" si="20"/>
        <v>0.27335118854892976</v>
      </c>
      <c r="P129" s="79">
        <f t="shared" si="20"/>
        <v>0.87434569336998369</v>
      </c>
      <c r="Q129" s="79">
        <f t="shared" si="20"/>
        <v>5.7163935704930183E-2</v>
      </c>
      <c r="R129" s="79">
        <f t="shared" si="20"/>
        <v>-1.7101727936293806E-3</v>
      </c>
      <c r="S129" s="79">
        <f t="shared" si="20"/>
        <v>0</v>
      </c>
      <c r="T129" s="79">
        <f t="shared" si="20"/>
        <v>-2.088269163944512E-2</v>
      </c>
      <c r="U129" s="79">
        <f t="shared" si="20"/>
        <v>0</v>
      </c>
      <c r="V129" s="79">
        <f t="shared" si="20"/>
        <v>-5.207182147211325E-3</v>
      </c>
      <c r="W129" s="79">
        <f t="shared" si="20"/>
        <v>0</v>
      </c>
      <c r="X129" s="79">
        <f t="shared" si="20"/>
        <v>-0.17356370967543089</v>
      </c>
      <c r="Y129" s="79">
        <f t="shared" si="20"/>
        <v>0</v>
      </c>
      <c r="AQ129" s="3"/>
    </row>
    <row r="130" spans="3:43" x14ac:dyDescent="0.25">
      <c r="E130" s="27"/>
      <c r="F130" t="s">
        <v>194</v>
      </c>
      <c r="G130" t="s">
        <v>173</v>
      </c>
      <c r="J130" s="79">
        <f t="shared" ref="J130:Y130" si="21">J$58 * J36 * J118 / hours_in_year / $H47</f>
        <v>2.761818116491416</v>
      </c>
      <c r="K130" s="79">
        <f t="shared" si="21"/>
        <v>2.8589924310335323E-2</v>
      </c>
      <c r="L130" s="79">
        <f t="shared" si="21"/>
        <v>0.92583441125250832</v>
      </c>
      <c r="M130" s="79">
        <f t="shared" si="21"/>
        <v>1.2734186219849777E-2</v>
      </c>
      <c r="N130" s="79">
        <f t="shared" si="21"/>
        <v>0.53836320561002182</v>
      </c>
      <c r="O130" s="79">
        <f t="shared" si="21"/>
        <v>0.27226213998897386</v>
      </c>
      <c r="P130" s="79">
        <f t="shared" si="21"/>
        <v>0.870862244392414</v>
      </c>
      <c r="Q130" s="79">
        <f t="shared" si="21"/>
        <v>5.6936190941165518E-2</v>
      </c>
      <c r="R130" s="79">
        <f t="shared" si="21"/>
        <v>-1.7033593562045624E-3</v>
      </c>
      <c r="S130" s="79">
        <f t="shared" si="21"/>
        <v>0</v>
      </c>
      <c r="T130" s="79">
        <f t="shared" si="21"/>
        <v>-2.0799493664785975E-2</v>
      </c>
      <c r="U130" s="79">
        <f t="shared" si="21"/>
        <v>0</v>
      </c>
      <c r="V130" s="79">
        <f t="shared" si="21"/>
        <v>-5.1864364016049056E-3</v>
      </c>
      <c r="W130" s="79">
        <f t="shared" si="21"/>
        <v>0</v>
      </c>
      <c r="X130" s="79">
        <f t="shared" si="21"/>
        <v>-0.17287222079226183</v>
      </c>
      <c r="Y130" s="79">
        <f t="shared" si="21"/>
        <v>0</v>
      </c>
      <c r="AQ130" s="3"/>
    </row>
    <row r="131" spans="3:43" x14ac:dyDescent="0.25">
      <c r="E131" s="27"/>
      <c r="F131" t="s">
        <v>195</v>
      </c>
      <c r="G131" t="s">
        <v>173</v>
      </c>
      <c r="J131" s="79">
        <f t="shared" ref="J131:Y131" si="22">J$58 * J37 * J119 / hours_in_year / $H48</f>
        <v>30.110919709318988</v>
      </c>
      <c r="K131" s="79">
        <f t="shared" si="22"/>
        <v>0.31170369629469025</v>
      </c>
      <c r="L131" s="79">
        <f t="shared" si="22"/>
        <v>10.093975941024118</v>
      </c>
      <c r="M131" s="79">
        <f t="shared" si="22"/>
        <v>0.13883537679031829</v>
      </c>
      <c r="N131" s="79">
        <f t="shared" si="22"/>
        <v>5.8695433858507453</v>
      </c>
      <c r="O131" s="79">
        <f t="shared" si="22"/>
        <v>2.9683574700820961</v>
      </c>
      <c r="P131" s="79">
        <f t="shared" si="22"/>
        <v>9.4946379568579413</v>
      </c>
      <c r="Q131" s="79">
        <f t="shared" si="22"/>
        <v>0.6207508972972654</v>
      </c>
      <c r="R131" s="79">
        <f t="shared" si="22"/>
        <v>-1.8570997309537079E-2</v>
      </c>
      <c r="S131" s="79">
        <f t="shared" si="22"/>
        <v>0</v>
      </c>
      <c r="T131" s="79">
        <f t="shared" si="22"/>
        <v>-0.22676796853316825</v>
      </c>
      <c r="U131" s="79">
        <f t="shared" si="22"/>
        <v>0</v>
      </c>
      <c r="V131" s="79">
        <f t="shared" si="22"/>
        <v>-5.654549411986956E-2</v>
      </c>
      <c r="W131" s="79">
        <f t="shared" si="22"/>
        <v>0</v>
      </c>
      <c r="X131" s="79">
        <f t="shared" si="22"/>
        <v>-1.8847517615896701</v>
      </c>
      <c r="Y131" s="79">
        <f t="shared" si="22"/>
        <v>0</v>
      </c>
      <c r="AQ131" s="3"/>
    </row>
    <row r="132" spans="3:43" x14ac:dyDescent="0.25">
      <c r="E132" s="27"/>
      <c r="F132" t="s">
        <v>196</v>
      </c>
      <c r="G132" t="s">
        <v>173</v>
      </c>
      <c r="J132" s="79">
        <f t="shared" ref="J132:Y132" si="23">J$58 * J38 * J120 / hours_in_year / $H49</f>
        <v>29.992138960958755</v>
      </c>
      <c r="K132" s="79">
        <f t="shared" si="23"/>
        <v>0.31047409591482955</v>
      </c>
      <c r="L132" s="79">
        <f t="shared" si="23"/>
        <v>10.054157495497396</v>
      </c>
      <c r="M132" s="79">
        <f t="shared" si="23"/>
        <v>0.13828770272013954</v>
      </c>
      <c r="N132" s="79">
        <f t="shared" si="23"/>
        <v>5.8463893685495592</v>
      </c>
      <c r="O132" s="79">
        <f t="shared" si="23"/>
        <v>2.9566479731586952</v>
      </c>
      <c r="P132" s="79">
        <f t="shared" si="23"/>
        <v>9.4571837637342409</v>
      </c>
      <c r="Q132" s="79">
        <f t="shared" si="23"/>
        <v>0.61830217580891322</v>
      </c>
      <c r="R132" s="79">
        <f t="shared" si="23"/>
        <v>-1.8497738937507346E-2</v>
      </c>
      <c r="S132" s="79">
        <f t="shared" si="23"/>
        <v>0</v>
      </c>
      <c r="T132" s="79">
        <f t="shared" si="23"/>
        <v>-0.22587342033382635</v>
      </c>
      <c r="U132" s="79">
        <f t="shared" si="23"/>
        <v>0</v>
      </c>
      <c r="V132" s="79">
        <f t="shared" si="23"/>
        <v>-5.6322434971467709E-2</v>
      </c>
      <c r="W132" s="79">
        <f t="shared" si="23"/>
        <v>0</v>
      </c>
      <c r="X132" s="79">
        <f t="shared" si="23"/>
        <v>-1.8773168433979948</v>
      </c>
      <c r="Y132" s="79">
        <f t="shared" si="23"/>
        <v>0</v>
      </c>
      <c r="AQ132" s="3"/>
    </row>
    <row r="133" spans="3:43" x14ac:dyDescent="0.25">
      <c r="E133" s="27"/>
      <c r="F133" t="s">
        <v>197</v>
      </c>
      <c r="G133" t="s">
        <v>173</v>
      </c>
      <c r="J133" s="79">
        <f t="shared" ref="J133:Y133" si="24">J$58 * J39 * J121 / hours_in_year / $H50</f>
        <v>0</v>
      </c>
      <c r="K133" s="79">
        <f t="shared" si="24"/>
        <v>0</v>
      </c>
      <c r="L133" s="79">
        <f t="shared" si="24"/>
        <v>0</v>
      </c>
      <c r="M133" s="79">
        <f t="shared" si="24"/>
        <v>0</v>
      </c>
      <c r="N133" s="79">
        <f t="shared" si="24"/>
        <v>0</v>
      </c>
      <c r="O133" s="79">
        <f t="shared" si="24"/>
        <v>0</v>
      </c>
      <c r="P133" s="79">
        <f t="shared" si="24"/>
        <v>0</v>
      </c>
      <c r="Q133" s="79">
        <f t="shared" si="24"/>
        <v>0</v>
      </c>
      <c r="R133" s="79">
        <f t="shared" si="24"/>
        <v>0</v>
      </c>
      <c r="S133" s="79">
        <f t="shared" si="24"/>
        <v>0</v>
      </c>
      <c r="T133" s="79">
        <f t="shared" si="24"/>
        <v>0</v>
      </c>
      <c r="U133" s="79">
        <f t="shared" si="24"/>
        <v>0</v>
      </c>
      <c r="V133" s="79">
        <f t="shared" si="24"/>
        <v>0</v>
      </c>
      <c r="W133" s="79">
        <f t="shared" si="24"/>
        <v>0</v>
      </c>
      <c r="X133" s="79">
        <f t="shared" si="24"/>
        <v>0</v>
      </c>
      <c r="Y133" s="79">
        <f t="shared" si="24"/>
        <v>0</v>
      </c>
      <c r="AQ133" s="3"/>
    </row>
    <row r="134" spans="3:43" x14ac:dyDescent="0.25">
      <c r="E134" s="27"/>
      <c r="F134" t="s">
        <v>198</v>
      </c>
      <c r="G134" t="s">
        <v>173</v>
      </c>
      <c r="J134" s="79">
        <f t="shared" ref="J134:Y134" si="25">J$58 * J40 * J122 / hours_in_year / $H51</f>
        <v>29.497603206995326</v>
      </c>
      <c r="K134" s="79">
        <f t="shared" si="25"/>
        <v>0.30535473642835809</v>
      </c>
      <c r="L134" s="79">
        <f t="shared" si="25"/>
        <v>9.8883760430983116</v>
      </c>
      <c r="M134" s="79">
        <f t="shared" si="25"/>
        <v>0.1360074981166067</v>
      </c>
      <c r="N134" s="79">
        <f t="shared" si="25"/>
        <v>5.7499891558770644</v>
      </c>
      <c r="O134" s="79">
        <f t="shared" si="25"/>
        <v>2.9078962607011807</v>
      </c>
      <c r="P134" s="79">
        <f t="shared" si="25"/>
        <v>9.3012457191333873</v>
      </c>
      <c r="Q134" s="79">
        <f t="shared" si="25"/>
        <v>0.60810708658606993</v>
      </c>
      <c r="R134" s="79">
        <f t="shared" si="25"/>
        <v>-1.8192732572873377E-2</v>
      </c>
      <c r="S134" s="79">
        <f t="shared" si="25"/>
        <v>0</v>
      </c>
      <c r="T134" s="79">
        <f t="shared" si="25"/>
        <v>-0.22214902833996114</v>
      </c>
      <c r="U134" s="79">
        <f t="shared" si="25"/>
        <v>0</v>
      </c>
      <c r="V134" s="79">
        <f t="shared" si="25"/>
        <v>-5.5393743027224308E-2</v>
      </c>
      <c r="W134" s="79">
        <f t="shared" si="25"/>
        <v>0</v>
      </c>
      <c r="X134" s="79">
        <f t="shared" si="25"/>
        <v>0</v>
      </c>
      <c r="Y134" s="79">
        <f t="shared" si="25"/>
        <v>0</v>
      </c>
      <c r="AQ134" s="3"/>
    </row>
    <row r="135" spans="3:43" x14ac:dyDescent="0.25">
      <c r="E135" s="27"/>
      <c r="F135" t="s">
        <v>199</v>
      </c>
      <c r="G135" t="s">
        <v>173</v>
      </c>
      <c r="J135" s="79">
        <f t="shared" ref="J135:Y135" si="26">J$58 * J41 * J123 / hours_in_year / $H52</f>
        <v>29.158225221871696</v>
      </c>
      <c r="K135" s="79">
        <f t="shared" si="26"/>
        <v>0.30184154674749492</v>
      </c>
      <c r="L135" s="79">
        <f t="shared" si="26"/>
        <v>9.7746075747213421</v>
      </c>
      <c r="M135" s="79">
        <f t="shared" si="26"/>
        <v>0.13444269468669368</v>
      </c>
      <c r="N135" s="79">
        <f t="shared" si="26"/>
        <v>5.6838339594527838</v>
      </c>
      <c r="O135" s="79">
        <f t="shared" si="26"/>
        <v>2.8744401196384635</v>
      </c>
      <c r="P135" s="79">
        <f t="shared" si="26"/>
        <v>0</v>
      </c>
      <c r="Q135" s="79">
        <f t="shared" si="26"/>
        <v>0.60111064838949002</v>
      </c>
      <c r="R135" s="79">
        <f t="shared" si="26"/>
        <v>-1.7983420213453932E-2</v>
      </c>
      <c r="S135" s="79">
        <f t="shared" si="26"/>
        <v>0</v>
      </c>
      <c r="T135" s="79">
        <f t="shared" si="26"/>
        <v>-0.21959314306663466</v>
      </c>
      <c r="U135" s="79">
        <f t="shared" si="26"/>
        <v>0</v>
      </c>
      <c r="V135" s="79">
        <f t="shared" si="26"/>
        <v>0</v>
      </c>
      <c r="W135" s="79">
        <f t="shared" si="26"/>
        <v>0</v>
      </c>
      <c r="X135" s="79">
        <f t="shared" si="26"/>
        <v>0</v>
      </c>
      <c r="Y135" s="79">
        <f t="shared" si="26"/>
        <v>0</v>
      </c>
      <c r="AQ135" s="3"/>
    </row>
    <row r="136" spans="3:43" x14ac:dyDescent="0.25">
      <c r="E136" s="27"/>
      <c r="F136" s="28" t="s">
        <v>200</v>
      </c>
      <c r="G136" s="28" t="s">
        <v>173</v>
      </c>
      <c r="H136" s="28"/>
      <c r="I136" s="28"/>
      <c r="J136" s="72">
        <f t="shared" ref="J136:Y136" si="27">J$58 * J42 * J124 / hours_in_year / $H53</f>
        <v>28.744828834037975</v>
      </c>
      <c r="K136" s="72">
        <f t="shared" si="27"/>
        <v>0.29756212973311641</v>
      </c>
      <c r="L136" s="72">
        <f t="shared" si="27"/>
        <v>9.6360261818850272</v>
      </c>
      <c r="M136" s="72">
        <f t="shared" si="27"/>
        <v>0.13253660733291256</v>
      </c>
      <c r="N136" s="72">
        <f t="shared" si="27"/>
        <v>5.6032503021826585</v>
      </c>
      <c r="O136" s="72">
        <f t="shared" si="27"/>
        <v>0</v>
      </c>
      <c r="P136" s="72">
        <f t="shared" si="27"/>
        <v>0</v>
      </c>
      <c r="Q136" s="72">
        <f t="shared" si="27"/>
        <v>0.59258828569965782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192</v>
      </c>
      <c r="G142" s="19" t="s">
        <v>173</v>
      </c>
      <c r="H142" s="19"/>
      <c r="I142" s="19"/>
      <c r="J142" s="148">
        <f t="shared" ref="J142:Y142" si="28">J82 + J105 + J128</f>
        <v>1251.5317668796586</v>
      </c>
      <c r="K142" s="148">
        <f t="shared" si="28"/>
        <v>0.17678906335466371</v>
      </c>
      <c r="L142" s="148">
        <f t="shared" si="28"/>
        <v>369.28098273711066</v>
      </c>
      <c r="M142" s="148">
        <f t="shared" si="28"/>
        <v>0.11827859639667301</v>
      </c>
      <c r="N142" s="148">
        <f t="shared" si="28"/>
        <v>226.16356656387234</v>
      </c>
      <c r="O142" s="148">
        <f t="shared" si="28"/>
        <v>101.40470812321824</v>
      </c>
      <c r="P142" s="148">
        <f t="shared" si="28"/>
        <v>296.45013415766653</v>
      </c>
      <c r="Q142" s="148">
        <f t="shared" si="28"/>
        <v>21.430623505702883</v>
      </c>
      <c r="R142" s="148">
        <f t="shared" si="28"/>
        <v>-0.9529901492671673</v>
      </c>
      <c r="S142" s="148">
        <f t="shared" si="28"/>
        <v>0</v>
      </c>
      <c r="T142" s="148">
        <f t="shared" si="28"/>
        <v>-6.8543626748522248</v>
      </c>
      <c r="U142" s="148">
        <f t="shared" si="28"/>
        <v>0</v>
      </c>
      <c r="V142" s="148">
        <f t="shared" si="28"/>
        <v>-1.65142457175479</v>
      </c>
      <c r="W142" s="148">
        <f t="shared" si="28"/>
        <v>0</v>
      </c>
      <c r="X142" s="148">
        <f t="shared" si="28"/>
        <v>-72.423469203083812</v>
      </c>
      <c r="Y142" s="148">
        <f t="shared" si="28"/>
        <v>0</v>
      </c>
      <c r="AQ142" s="3"/>
    </row>
    <row r="143" spans="3:43" x14ac:dyDescent="0.25">
      <c r="C143" s="27"/>
      <c r="F143" t="s">
        <v>193</v>
      </c>
      <c r="G143" t="s">
        <v>173</v>
      </c>
      <c r="J143" s="79">
        <f t="shared" ref="J143:Y143" si="29">J83 + J106 + J129</f>
        <v>1230.619473266534</v>
      </c>
      <c r="K143" s="79">
        <f t="shared" si="29"/>
        <v>0.30451310891338129</v>
      </c>
      <c r="L143" s="79">
        <f t="shared" si="29"/>
        <v>374.60461749755513</v>
      </c>
      <c r="M143" s="79">
        <f t="shared" si="29"/>
        <v>0.17915766215390899</v>
      </c>
      <c r="N143" s="79">
        <f t="shared" si="29"/>
        <v>227.429619433102</v>
      </c>
      <c r="O143" s="79">
        <f t="shared" si="29"/>
        <v>102.15413816306118</v>
      </c>
      <c r="P143" s="79">
        <f t="shared" si="29"/>
        <v>297.45087153574258</v>
      </c>
      <c r="Q143" s="79">
        <f t="shared" si="29"/>
        <v>19.587874946865941</v>
      </c>
      <c r="R143" s="79">
        <f t="shared" si="29"/>
        <v>-0.98642415068983214</v>
      </c>
      <c r="S143" s="79">
        <f t="shared" si="29"/>
        <v>0</v>
      </c>
      <c r="T143" s="79">
        <f t="shared" si="29"/>
        <v>-7.079610874619541</v>
      </c>
      <c r="U143" s="79">
        <f t="shared" si="29"/>
        <v>0</v>
      </c>
      <c r="V143" s="79">
        <f t="shared" si="29"/>
        <v>-1.6919308335540626</v>
      </c>
      <c r="W143" s="79">
        <f t="shared" si="29"/>
        <v>0</v>
      </c>
      <c r="X143" s="79">
        <f t="shared" si="29"/>
        <v>-73.450371780725561</v>
      </c>
      <c r="Y143" s="79">
        <f t="shared" si="29"/>
        <v>0</v>
      </c>
      <c r="AQ143" s="3"/>
    </row>
    <row r="144" spans="3:43" x14ac:dyDescent="0.25">
      <c r="C144" s="27"/>
      <c r="F144" t="s">
        <v>194</v>
      </c>
      <c r="G144" t="s">
        <v>173</v>
      </c>
      <c r="J144" s="79">
        <f t="shared" ref="J144:Y144" si="30">J84 + J107 + J130</f>
        <v>1225.7166068391773</v>
      </c>
      <c r="K144" s="79">
        <f t="shared" si="30"/>
        <v>0.30329990927627615</v>
      </c>
      <c r="L144" s="79">
        <f t="shared" si="30"/>
        <v>373.11216882226603</v>
      </c>
      <c r="M144" s="79">
        <f t="shared" si="30"/>
        <v>0.17844388660747912</v>
      </c>
      <c r="N144" s="79">
        <f t="shared" si="30"/>
        <v>226.52352533177486</v>
      </c>
      <c r="O144" s="79">
        <f t="shared" si="30"/>
        <v>101.74714956480197</v>
      </c>
      <c r="P144" s="79">
        <f t="shared" si="30"/>
        <v>296.26580830253243</v>
      </c>
      <c r="Q144" s="79">
        <f t="shared" si="30"/>
        <v>19.509835604448149</v>
      </c>
      <c r="R144" s="79">
        <f t="shared" si="30"/>
        <v>-0.98249417399385663</v>
      </c>
      <c r="S144" s="79">
        <f t="shared" si="30"/>
        <v>0</v>
      </c>
      <c r="T144" s="79">
        <f t="shared" si="30"/>
        <v>-7.0514052536051199</v>
      </c>
      <c r="U144" s="79">
        <f t="shared" si="30"/>
        <v>0</v>
      </c>
      <c r="V144" s="79">
        <f t="shared" si="30"/>
        <v>-1.6851900732610188</v>
      </c>
      <c r="W144" s="79">
        <f t="shared" si="30"/>
        <v>0</v>
      </c>
      <c r="X144" s="79">
        <f t="shared" si="30"/>
        <v>-73.157740817455732</v>
      </c>
      <c r="Y144" s="79">
        <f t="shared" si="30"/>
        <v>0</v>
      </c>
      <c r="AQ144" s="3"/>
    </row>
    <row r="145" spans="3:43" x14ac:dyDescent="0.25">
      <c r="C145" s="27"/>
      <c r="F145" t="s">
        <v>195</v>
      </c>
      <c r="G145" t="s">
        <v>173</v>
      </c>
      <c r="J145" s="79">
        <f t="shared" ref="J145:Y145" si="31">J85 + J108 + J131</f>
        <v>1151.4081638844664</v>
      </c>
      <c r="K145" s="79">
        <f t="shared" si="31"/>
        <v>0.84573148956370381</v>
      </c>
      <c r="L145" s="79">
        <f t="shared" si="31"/>
        <v>382.71700560653557</v>
      </c>
      <c r="M145" s="79">
        <f t="shared" si="31"/>
        <v>0.42950307155532363</v>
      </c>
      <c r="N145" s="79">
        <f t="shared" si="31"/>
        <v>226.86706047492541</v>
      </c>
      <c r="O145" s="79">
        <f t="shared" si="31"/>
        <v>102.61003160043792</v>
      </c>
      <c r="P145" s="79">
        <f t="shared" si="31"/>
        <v>296.14722659777487</v>
      </c>
      <c r="Q145" s="79">
        <f t="shared" si="31"/>
        <v>16.216074848119657</v>
      </c>
      <c r="R145" s="79">
        <f t="shared" si="31"/>
        <v>-1.0549865012952759</v>
      </c>
      <c r="S145" s="79">
        <f t="shared" si="31"/>
        <v>0</v>
      </c>
      <c r="T145" s="79">
        <f t="shared" si="31"/>
        <v>-7.5938030062750785</v>
      </c>
      <c r="U145" s="79">
        <f t="shared" si="31"/>
        <v>0</v>
      </c>
      <c r="V145" s="79">
        <f t="shared" si="31"/>
        <v>-1.7803393290598557</v>
      </c>
      <c r="W145" s="79">
        <f t="shared" si="31"/>
        <v>0</v>
      </c>
      <c r="X145" s="79">
        <f t="shared" si="31"/>
        <v>-74.932720743709183</v>
      </c>
      <c r="Y145" s="79">
        <f t="shared" si="31"/>
        <v>0</v>
      </c>
      <c r="AQ145" s="3"/>
    </row>
    <row r="146" spans="3:43" x14ac:dyDescent="0.25">
      <c r="C146" s="27"/>
      <c r="F146" t="s">
        <v>196</v>
      </c>
      <c r="G146" t="s">
        <v>173</v>
      </c>
      <c r="J146" s="79">
        <f t="shared" ref="J146:Y146" si="32">J86 + J109 + J132</f>
        <v>1146.8661198454745</v>
      </c>
      <c r="K146" s="79">
        <f t="shared" si="32"/>
        <v>0.84239527066996134</v>
      </c>
      <c r="L146" s="79">
        <f t="shared" si="32"/>
        <v>381.20727382899503</v>
      </c>
      <c r="M146" s="79">
        <f t="shared" si="32"/>
        <v>0.42780877935983919</v>
      </c>
      <c r="N146" s="79">
        <f t="shared" si="32"/>
        <v>225.97212138034979</v>
      </c>
      <c r="O146" s="79">
        <f t="shared" si="32"/>
        <v>102.20525830023895</v>
      </c>
      <c r="P146" s="79">
        <f t="shared" si="32"/>
        <v>294.97899296228064</v>
      </c>
      <c r="Q146" s="79">
        <f t="shared" si="32"/>
        <v>16.152106111046205</v>
      </c>
      <c r="R146" s="79">
        <f t="shared" si="32"/>
        <v>-1.0508248188444071</v>
      </c>
      <c r="S146" s="79">
        <f t="shared" si="32"/>
        <v>0</v>
      </c>
      <c r="T146" s="79">
        <f t="shared" si="32"/>
        <v>-7.563847175875571</v>
      </c>
      <c r="U146" s="79">
        <f t="shared" si="32"/>
        <v>0</v>
      </c>
      <c r="V146" s="79">
        <f t="shared" si="32"/>
        <v>-1.7733162942312173</v>
      </c>
      <c r="W146" s="79">
        <f t="shared" si="32"/>
        <v>0</v>
      </c>
      <c r="X146" s="79">
        <f t="shared" si="32"/>
        <v>-74.637128156948989</v>
      </c>
      <c r="Y146" s="79">
        <f t="shared" si="32"/>
        <v>0</v>
      </c>
      <c r="AQ146" s="3"/>
    </row>
    <row r="147" spans="3:43" x14ac:dyDescent="0.25">
      <c r="C147" s="27"/>
      <c r="F147" t="s">
        <v>197</v>
      </c>
      <c r="G147" t="s">
        <v>173</v>
      </c>
      <c r="H147" s="53"/>
      <c r="J147" s="79">
        <f t="shared" ref="J147:Y147" si="33">J87 + J110 + J133</f>
        <v>0</v>
      </c>
      <c r="K147" s="79">
        <f t="shared" si="33"/>
        <v>0</v>
      </c>
      <c r="L147" s="79">
        <f t="shared" si="33"/>
        <v>0</v>
      </c>
      <c r="M147" s="79">
        <f t="shared" si="33"/>
        <v>0</v>
      </c>
      <c r="N147" s="79">
        <f t="shared" si="33"/>
        <v>0</v>
      </c>
      <c r="O147" s="79">
        <f t="shared" si="33"/>
        <v>0</v>
      </c>
      <c r="P147" s="79">
        <f t="shared" si="33"/>
        <v>0</v>
      </c>
      <c r="Q147" s="79">
        <f t="shared" si="33"/>
        <v>0</v>
      </c>
      <c r="R147" s="79">
        <f t="shared" si="33"/>
        <v>0</v>
      </c>
      <c r="S147" s="79">
        <f t="shared" si="33"/>
        <v>0</v>
      </c>
      <c r="T147" s="79">
        <f t="shared" si="33"/>
        <v>0</v>
      </c>
      <c r="U147" s="79">
        <f t="shared" si="33"/>
        <v>0</v>
      </c>
      <c r="V147" s="79">
        <f t="shared" si="33"/>
        <v>0</v>
      </c>
      <c r="W147" s="79">
        <f t="shared" si="33"/>
        <v>0</v>
      </c>
      <c r="X147" s="79">
        <f t="shared" si="33"/>
        <v>0</v>
      </c>
      <c r="Y147" s="79">
        <f t="shared" si="33"/>
        <v>0</v>
      </c>
      <c r="AQ147" s="3"/>
    </row>
    <row r="148" spans="3:43" x14ac:dyDescent="0.25">
      <c r="C148" s="27"/>
      <c r="F148" t="s">
        <v>198</v>
      </c>
      <c r="G148" t="s">
        <v>173</v>
      </c>
      <c r="J148" s="79">
        <f t="shared" ref="J148:Y148" si="34">J88 + J111 + J134</f>
        <v>1127.9556212641232</v>
      </c>
      <c r="K148" s="79">
        <f t="shared" si="34"/>
        <v>0.82850514496541305</v>
      </c>
      <c r="L148" s="79">
        <f t="shared" si="34"/>
        <v>374.9216058803114</v>
      </c>
      <c r="M148" s="79">
        <f t="shared" si="34"/>
        <v>0.42075470637330448</v>
      </c>
      <c r="N148" s="79">
        <f>N88 + N111 + N134</f>
        <v>222.24610192015007</v>
      </c>
      <c r="O148" s="79">
        <f t="shared" si="34"/>
        <v>100.52001155813997</v>
      </c>
      <c r="P148" s="79">
        <f t="shared" si="34"/>
        <v>290.11512983875133</v>
      </c>
      <c r="Q148" s="79">
        <f t="shared" si="34"/>
        <v>15.885776524346124</v>
      </c>
      <c r="R148" s="79">
        <f t="shared" si="34"/>
        <v>-1.0334979304638496</v>
      </c>
      <c r="S148" s="79">
        <f t="shared" si="34"/>
        <v>0</v>
      </c>
      <c r="T148" s="79">
        <f t="shared" si="34"/>
        <v>-7.4391280662830557</v>
      </c>
      <c r="U148" s="79">
        <f t="shared" si="34"/>
        <v>0</v>
      </c>
      <c r="V148" s="79">
        <f t="shared" si="34"/>
        <v>-1.7440763553350673</v>
      </c>
      <c r="W148" s="79">
        <f t="shared" si="34"/>
        <v>0</v>
      </c>
      <c r="X148" s="79">
        <f t="shared" si="34"/>
        <v>0</v>
      </c>
      <c r="Y148" s="79">
        <f t="shared" si="34"/>
        <v>0</v>
      </c>
      <c r="AQ148" s="3"/>
    </row>
    <row r="149" spans="3:43" x14ac:dyDescent="0.25">
      <c r="C149" s="27"/>
      <c r="F149" t="s">
        <v>199</v>
      </c>
      <c r="G149" t="s">
        <v>173</v>
      </c>
      <c r="J149" s="79">
        <f t="shared" ref="J149:Y149" si="35">J89 + J112 + J135</f>
        <v>1114.9781836273355</v>
      </c>
      <c r="K149" s="79">
        <f t="shared" si="35"/>
        <v>0.81897296688335652</v>
      </c>
      <c r="L149" s="79">
        <f t="shared" si="35"/>
        <v>370.60803035723973</v>
      </c>
      <c r="M149" s="79">
        <f t="shared" si="35"/>
        <v>0.41591380850515525</v>
      </c>
      <c r="N149" s="79">
        <f t="shared" si="35"/>
        <v>219.68909978875809</v>
      </c>
      <c r="O149" s="79">
        <f t="shared" si="35"/>
        <v>99.363501358046321</v>
      </c>
      <c r="P149" s="79">
        <f t="shared" si="35"/>
        <v>0</v>
      </c>
      <c r="Q149" s="79">
        <f t="shared" si="35"/>
        <v>15.703006324641278</v>
      </c>
      <c r="R149" s="79">
        <f t="shared" si="35"/>
        <v>-1.0216072543703056</v>
      </c>
      <c r="S149" s="79">
        <f t="shared" si="35"/>
        <v>0</v>
      </c>
      <c r="T149" s="79">
        <f t="shared" si="35"/>
        <v>-7.3535388651369411</v>
      </c>
      <c r="U149" s="79">
        <f t="shared" si="35"/>
        <v>0</v>
      </c>
      <c r="V149" s="79">
        <f t="shared" si="35"/>
        <v>0</v>
      </c>
      <c r="W149" s="79">
        <f t="shared" si="35"/>
        <v>0</v>
      </c>
      <c r="X149" s="79">
        <f t="shared" si="35"/>
        <v>0</v>
      </c>
      <c r="Y149" s="79">
        <f t="shared" si="35"/>
        <v>0</v>
      </c>
      <c r="AQ149" s="3"/>
    </row>
    <row r="150" spans="3:43" x14ac:dyDescent="0.25">
      <c r="C150" s="27"/>
      <c r="F150" s="28" t="s">
        <v>200</v>
      </c>
      <c r="G150" s="28" t="s">
        <v>173</v>
      </c>
      <c r="H150" s="28"/>
      <c r="I150" s="28"/>
      <c r="J150" s="72">
        <f t="shared" ref="J150:Y150" si="36">J90 + J113 + J136</f>
        <v>1099.1703643887627</v>
      </c>
      <c r="K150" s="72">
        <f t="shared" si="36"/>
        <v>0.8073618189596794</v>
      </c>
      <c r="L150" s="72">
        <f t="shared" si="36"/>
        <v>365.35366319716536</v>
      </c>
      <c r="M150" s="72">
        <f t="shared" si="36"/>
        <v>0.41001710989685908</v>
      </c>
      <c r="N150" s="72">
        <f t="shared" si="36"/>
        <v>216.5744150091443</v>
      </c>
      <c r="O150" s="72">
        <f t="shared" si="36"/>
        <v>0</v>
      </c>
      <c r="P150" s="72">
        <f t="shared" si="36"/>
        <v>0</v>
      </c>
      <c r="Q150" s="72">
        <f t="shared" si="36"/>
        <v>15.480373909830671</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192</v>
      </c>
      <c r="G154" s="19" t="s">
        <v>519</v>
      </c>
      <c r="H154" s="91">
        <f t="shared" ref="H154:H162" si="37">SUM(J142:Y142) * thousand</f>
        <v>2184674.6030280227</v>
      </c>
      <c r="J154" s="53"/>
      <c r="K154" s="53"/>
      <c r="L154" s="53"/>
      <c r="M154" s="53"/>
      <c r="N154" s="53"/>
      <c r="O154" s="53"/>
      <c r="P154" s="53"/>
      <c r="Q154" s="53"/>
      <c r="R154" s="53"/>
      <c r="S154" s="53"/>
      <c r="T154" s="53"/>
      <c r="U154" s="53"/>
      <c r="V154" s="53"/>
      <c r="W154" s="53"/>
      <c r="X154" s="53"/>
      <c r="Y154" s="53"/>
      <c r="AQ154" s="3"/>
    </row>
    <row r="155" spans="3:43" x14ac:dyDescent="0.25">
      <c r="C155" s="27"/>
      <c r="F155" t="s">
        <v>193</v>
      </c>
      <c r="G155" t="s">
        <v>519</v>
      </c>
      <c r="H155" s="111">
        <f t="shared" si="37"/>
        <v>2169121.9279743396</v>
      </c>
      <c r="J155" s="53"/>
      <c r="K155" s="53"/>
      <c r="L155" s="53"/>
      <c r="M155" s="53"/>
      <c r="N155" s="53"/>
      <c r="O155" s="53"/>
      <c r="P155" s="53"/>
      <c r="Q155" s="53"/>
      <c r="R155" s="53"/>
      <c r="S155" s="53"/>
      <c r="T155" s="53"/>
      <c r="U155" s="53"/>
      <c r="V155" s="53"/>
      <c r="W155" s="53"/>
      <c r="X155" s="53"/>
      <c r="Y155" s="53"/>
      <c r="AQ155" s="3"/>
    </row>
    <row r="156" spans="3:43" x14ac:dyDescent="0.25">
      <c r="C156" s="27"/>
      <c r="F156" t="s">
        <v>194</v>
      </c>
      <c r="G156" t="s">
        <v>519</v>
      </c>
      <c r="H156" s="111">
        <f t="shared" si="37"/>
        <v>2160480.007942569</v>
      </c>
      <c r="J156" s="53"/>
      <c r="K156" s="53"/>
      <c r="L156" s="53"/>
      <c r="M156" s="53"/>
      <c r="N156" s="53"/>
      <c r="O156" s="53"/>
      <c r="P156" s="53"/>
      <c r="Q156" s="53"/>
      <c r="R156" s="53"/>
      <c r="S156" s="53"/>
      <c r="T156" s="53"/>
      <c r="U156" s="53"/>
      <c r="V156" s="53"/>
      <c r="W156" s="53"/>
      <c r="X156" s="53"/>
      <c r="Y156" s="53"/>
      <c r="AQ156" s="3"/>
    </row>
    <row r="157" spans="3:43" x14ac:dyDescent="0.25">
      <c r="C157" s="27"/>
      <c r="F157" t="s">
        <v>195</v>
      </c>
      <c r="G157" t="s">
        <v>519</v>
      </c>
      <c r="H157" s="111">
        <f t="shared" si="37"/>
        <v>2091878.9479930392</v>
      </c>
      <c r="J157" s="53"/>
      <c r="K157" s="53"/>
      <c r="L157" s="53"/>
      <c r="M157" s="53"/>
      <c r="N157" s="53"/>
      <c r="O157" s="53"/>
      <c r="P157" s="53"/>
      <c r="Q157" s="53"/>
      <c r="R157" s="53"/>
      <c r="S157" s="53"/>
      <c r="T157" s="53"/>
      <c r="U157" s="53"/>
      <c r="V157" s="53"/>
      <c r="W157" s="53"/>
      <c r="X157" s="53"/>
      <c r="Y157" s="53"/>
      <c r="AQ157" s="3"/>
    </row>
    <row r="158" spans="3:43" x14ac:dyDescent="0.25">
      <c r="C158" s="27"/>
      <c r="F158" t="s">
        <v>196</v>
      </c>
      <c r="G158" t="s">
        <v>519</v>
      </c>
      <c r="H158" s="111">
        <f t="shared" si="37"/>
        <v>2083626.9600325145</v>
      </c>
      <c r="J158" s="53"/>
      <c r="K158" s="53"/>
      <c r="L158" s="53"/>
      <c r="M158" s="53"/>
      <c r="N158" s="53"/>
      <c r="O158" s="53"/>
      <c r="P158" s="53"/>
      <c r="Q158" s="53"/>
      <c r="R158" s="53"/>
      <c r="S158" s="53"/>
      <c r="T158" s="53"/>
      <c r="U158" s="53"/>
      <c r="V158" s="53"/>
      <c r="W158" s="53"/>
      <c r="X158" s="53"/>
      <c r="Y158" s="53"/>
      <c r="AQ158" s="3"/>
    </row>
    <row r="159" spans="3:43" x14ac:dyDescent="0.25">
      <c r="C159" s="27"/>
      <c r="F159" t="s">
        <v>197</v>
      </c>
      <c r="G159" t="s">
        <v>519</v>
      </c>
      <c r="H159" s="111">
        <f t="shared" si="37"/>
        <v>0</v>
      </c>
      <c r="J159" s="53"/>
      <c r="K159" s="53"/>
      <c r="L159" s="53"/>
      <c r="M159" s="53"/>
      <c r="N159" s="53"/>
      <c r="O159" s="53"/>
      <c r="P159" s="53"/>
      <c r="Q159" s="53"/>
      <c r="R159" s="53"/>
      <c r="S159" s="53"/>
      <c r="T159" s="53"/>
      <c r="U159" s="53"/>
      <c r="V159" s="53"/>
      <c r="W159" s="53"/>
      <c r="X159" s="53"/>
      <c r="Y159" s="53"/>
      <c r="AQ159" s="3"/>
    </row>
    <row r="160" spans="3:43" x14ac:dyDescent="0.25">
      <c r="C160" s="27"/>
      <c r="F160" t="s">
        <v>198</v>
      </c>
      <c r="G160" t="s">
        <v>519</v>
      </c>
      <c r="H160" s="111">
        <f t="shared" si="37"/>
        <v>2122676.8044850794</v>
      </c>
      <c r="J160" s="53"/>
      <c r="K160" s="53"/>
      <c r="L160" s="53"/>
      <c r="M160" s="53"/>
      <c r="N160" s="53"/>
      <c r="O160" s="53"/>
      <c r="P160" s="53"/>
      <c r="Q160" s="53"/>
      <c r="R160" s="53"/>
      <c r="S160" s="53"/>
      <c r="T160" s="53"/>
      <c r="U160" s="53"/>
      <c r="V160" s="53"/>
      <c r="W160" s="53"/>
      <c r="X160" s="53"/>
      <c r="Y160" s="53"/>
      <c r="AQ160" s="3"/>
    </row>
    <row r="161" spans="3:43" x14ac:dyDescent="0.25">
      <c r="C161" s="27"/>
      <c r="F161" t="s">
        <v>199</v>
      </c>
      <c r="G161" t="s">
        <v>519</v>
      </c>
      <c r="H161" s="111">
        <f t="shared" si="37"/>
        <v>1813201.5621119023</v>
      </c>
      <c r="J161" s="53"/>
      <c r="K161" s="53"/>
      <c r="L161" s="53"/>
      <c r="M161" s="53"/>
      <c r="N161" s="53"/>
      <c r="O161" s="53"/>
      <c r="P161" s="53"/>
      <c r="Q161" s="53"/>
      <c r="R161" s="53"/>
      <c r="S161" s="53"/>
      <c r="T161" s="53"/>
      <c r="U161" s="53"/>
      <c r="V161" s="53"/>
      <c r="W161" s="53"/>
      <c r="X161" s="53"/>
      <c r="Y161" s="53"/>
      <c r="AQ161" s="3"/>
    </row>
    <row r="162" spans="3:43" x14ac:dyDescent="0.25">
      <c r="C162" s="27"/>
      <c r="F162" s="28" t="s">
        <v>200</v>
      </c>
      <c r="G162" s="28" t="s">
        <v>519</v>
      </c>
      <c r="H162" s="121">
        <f t="shared" si="37"/>
        <v>1697796.1954337596</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192</v>
      </c>
      <c r="G168" s="19" t="s">
        <v>173</v>
      </c>
      <c r="H168" s="119"/>
      <c r="I168" s="19"/>
      <c r="J168" s="148">
        <f t="shared" ref="J168:Y168" si="38">J142 * (1 - J23)</f>
        <v>1251.5317668796586</v>
      </c>
      <c r="K168" s="148">
        <f t="shared" si="38"/>
        <v>0.17678906335466371</v>
      </c>
      <c r="L168" s="148">
        <f t="shared" si="38"/>
        <v>369.28098273711066</v>
      </c>
      <c r="M168" s="148">
        <f t="shared" si="38"/>
        <v>0.11827859639667301</v>
      </c>
      <c r="N168" s="148">
        <f t="shared" si="38"/>
        <v>226.16356656387234</v>
      </c>
      <c r="O168" s="148">
        <f t="shared" si="38"/>
        <v>101.40470812321824</v>
      </c>
      <c r="P168" s="148">
        <f t="shared" si="38"/>
        <v>296.45013415766653</v>
      </c>
      <c r="Q168" s="148">
        <f t="shared" si="38"/>
        <v>21.430623505702883</v>
      </c>
      <c r="R168" s="148">
        <f t="shared" si="38"/>
        <v>-0.9529901492671673</v>
      </c>
      <c r="S168" s="148">
        <f t="shared" si="38"/>
        <v>0</v>
      </c>
      <c r="T168" s="148">
        <f t="shared" si="38"/>
        <v>-6.8543626748522248</v>
      </c>
      <c r="U168" s="148">
        <f t="shared" si="38"/>
        <v>0</v>
      </c>
      <c r="V168" s="148">
        <f t="shared" si="38"/>
        <v>-1.65142457175479</v>
      </c>
      <c r="W168" s="148">
        <f t="shared" si="38"/>
        <v>0</v>
      </c>
      <c r="X168" s="148">
        <f t="shared" si="38"/>
        <v>-72.423469203083812</v>
      </c>
      <c r="Y168" s="148">
        <f t="shared" si="38"/>
        <v>0</v>
      </c>
      <c r="AQ168" s="3"/>
    </row>
    <row r="169" spans="3:43" x14ac:dyDescent="0.25">
      <c r="C169" s="27"/>
      <c r="F169" t="s">
        <v>193</v>
      </c>
      <c r="G169" t="s">
        <v>173</v>
      </c>
      <c r="H169" s="53"/>
      <c r="J169" s="79">
        <f t="shared" ref="J169:Y169" si="39">J143 * (1 - J24)</f>
        <v>1230.619473266534</v>
      </c>
      <c r="K169" s="79">
        <f t="shared" si="39"/>
        <v>0.30451310891338129</v>
      </c>
      <c r="L169" s="79">
        <f t="shared" si="39"/>
        <v>374.60461749755513</v>
      </c>
      <c r="M169" s="79">
        <f t="shared" si="39"/>
        <v>0.17915766215390899</v>
      </c>
      <c r="N169" s="79">
        <f t="shared" si="39"/>
        <v>227.429619433102</v>
      </c>
      <c r="O169" s="79">
        <f t="shared" si="39"/>
        <v>102.15413816306118</v>
      </c>
      <c r="P169" s="79">
        <f t="shared" si="39"/>
        <v>297.45087153574258</v>
      </c>
      <c r="Q169" s="79">
        <f t="shared" si="39"/>
        <v>19.587874946865941</v>
      </c>
      <c r="R169" s="79">
        <f t="shared" si="39"/>
        <v>-0.98642415068983214</v>
      </c>
      <c r="S169" s="79">
        <f t="shared" si="39"/>
        <v>0</v>
      </c>
      <c r="T169" s="79">
        <f t="shared" si="39"/>
        <v>-7.079610874619541</v>
      </c>
      <c r="U169" s="79">
        <f t="shared" si="39"/>
        <v>0</v>
      </c>
      <c r="V169" s="79">
        <f t="shared" si="39"/>
        <v>-1.6919308335540626</v>
      </c>
      <c r="W169" s="79">
        <f t="shared" si="39"/>
        <v>0</v>
      </c>
      <c r="X169" s="79">
        <f t="shared" si="39"/>
        <v>-73.450371780725561</v>
      </c>
      <c r="Y169" s="79">
        <f t="shared" si="39"/>
        <v>0</v>
      </c>
      <c r="AQ169" s="3"/>
    </row>
    <row r="170" spans="3:43" x14ac:dyDescent="0.25">
      <c r="C170" s="27"/>
      <c r="F170" t="s">
        <v>194</v>
      </c>
      <c r="G170" t="s">
        <v>173</v>
      </c>
      <c r="H170" s="53"/>
      <c r="J170" s="79">
        <f t="shared" ref="J170:Y170" si="40">J144 * (1 - J25)</f>
        <v>1225.7166068391773</v>
      </c>
      <c r="K170" s="79">
        <f t="shared" si="40"/>
        <v>0.30329990927627615</v>
      </c>
      <c r="L170" s="79">
        <f t="shared" si="40"/>
        <v>373.11216882226603</v>
      </c>
      <c r="M170" s="79">
        <f t="shared" si="40"/>
        <v>0.17844388660747912</v>
      </c>
      <c r="N170" s="79">
        <f t="shared" si="40"/>
        <v>226.52352533177486</v>
      </c>
      <c r="O170" s="79">
        <f t="shared" si="40"/>
        <v>101.74714956480197</v>
      </c>
      <c r="P170" s="79">
        <f t="shared" si="40"/>
        <v>296.26580830253243</v>
      </c>
      <c r="Q170" s="79">
        <f t="shared" si="40"/>
        <v>19.509835604448149</v>
      </c>
      <c r="R170" s="79">
        <f t="shared" si="40"/>
        <v>-0.98249417399385663</v>
      </c>
      <c r="S170" s="79">
        <f t="shared" si="40"/>
        <v>0</v>
      </c>
      <c r="T170" s="79">
        <f t="shared" si="40"/>
        <v>-7.0514052536051199</v>
      </c>
      <c r="U170" s="79">
        <f t="shared" si="40"/>
        <v>0</v>
      </c>
      <c r="V170" s="79">
        <f t="shared" si="40"/>
        <v>-1.6851900732610188</v>
      </c>
      <c r="W170" s="79">
        <f t="shared" si="40"/>
        <v>0</v>
      </c>
      <c r="X170" s="79">
        <f t="shared" si="40"/>
        <v>-73.157740817455732</v>
      </c>
      <c r="Y170" s="79">
        <f t="shared" si="40"/>
        <v>0</v>
      </c>
      <c r="AQ170" s="3"/>
    </row>
    <row r="171" spans="3:43" x14ac:dyDescent="0.25">
      <c r="C171" s="27"/>
      <c r="F171" t="s">
        <v>195</v>
      </c>
      <c r="G171" t="s">
        <v>173</v>
      </c>
      <c r="H171" s="53"/>
      <c r="J171" s="79">
        <f t="shared" ref="J171:Y171" si="41">J145 * (1 - J26)</f>
        <v>1151.4081638844664</v>
      </c>
      <c r="K171" s="79">
        <f t="shared" si="41"/>
        <v>0.84573148956370381</v>
      </c>
      <c r="L171" s="79">
        <f t="shared" si="41"/>
        <v>382.71700560653557</v>
      </c>
      <c r="M171" s="79">
        <f t="shared" si="41"/>
        <v>0.42950307155532363</v>
      </c>
      <c r="N171" s="79">
        <f t="shared" si="41"/>
        <v>226.86706047492541</v>
      </c>
      <c r="O171" s="79">
        <f t="shared" si="41"/>
        <v>102.61003160043792</v>
      </c>
      <c r="P171" s="79">
        <f t="shared" si="41"/>
        <v>236.91778127821991</v>
      </c>
      <c r="Q171" s="79">
        <f t="shared" si="41"/>
        <v>16.216074848119657</v>
      </c>
      <c r="R171" s="79">
        <f t="shared" si="41"/>
        <v>-1.0549865012952759</v>
      </c>
      <c r="S171" s="79">
        <f t="shared" si="41"/>
        <v>0</v>
      </c>
      <c r="T171" s="79">
        <f t="shared" si="41"/>
        <v>-7.5938030062750785</v>
      </c>
      <c r="U171" s="79">
        <f t="shared" si="41"/>
        <v>0</v>
      </c>
      <c r="V171" s="79">
        <f t="shared" si="41"/>
        <v>-1.7803393290598557</v>
      </c>
      <c r="W171" s="79">
        <f t="shared" si="41"/>
        <v>0</v>
      </c>
      <c r="X171" s="79">
        <f t="shared" si="41"/>
        <v>-74.932720743709183</v>
      </c>
      <c r="Y171" s="79">
        <f t="shared" si="41"/>
        <v>0</v>
      </c>
      <c r="AQ171" s="3"/>
    </row>
    <row r="172" spans="3:43" x14ac:dyDescent="0.25">
      <c r="C172" s="27"/>
      <c r="F172" t="s">
        <v>196</v>
      </c>
      <c r="G172" t="s">
        <v>173</v>
      </c>
      <c r="H172" s="53"/>
      <c r="J172" s="79">
        <f t="shared" ref="J172:Y172" si="42">J146 * (1 - J27)</f>
        <v>1146.8661198454745</v>
      </c>
      <c r="K172" s="79">
        <f t="shared" si="42"/>
        <v>0.84239527066996134</v>
      </c>
      <c r="L172" s="79">
        <f t="shared" si="42"/>
        <v>381.20727382899503</v>
      </c>
      <c r="M172" s="79">
        <f t="shared" si="42"/>
        <v>0.42780877935983919</v>
      </c>
      <c r="N172" s="79">
        <f t="shared" si="42"/>
        <v>225.97212138034979</v>
      </c>
      <c r="O172" s="79">
        <f t="shared" si="42"/>
        <v>102.20525830023895</v>
      </c>
      <c r="P172" s="79">
        <f t="shared" si="42"/>
        <v>0</v>
      </c>
      <c r="Q172" s="79">
        <f t="shared" si="42"/>
        <v>16.152106111046205</v>
      </c>
      <c r="R172" s="79">
        <f t="shared" si="42"/>
        <v>-1.0508248188444071</v>
      </c>
      <c r="S172" s="79">
        <f t="shared" si="42"/>
        <v>0</v>
      </c>
      <c r="T172" s="79">
        <f t="shared" si="42"/>
        <v>-7.563847175875571</v>
      </c>
      <c r="U172" s="79">
        <f t="shared" si="42"/>
        <v>0</v>
      </c>
      <c r="V172" s="79">
        <f t="shared" si="42"/>
        <v>-1.7733162942312173</v>
      </c>
      <c r="W172" s="79">
        <f t="shared" si="42"/>
        <v>0</v>
      </c>
      <c r="X172" s="79">
        <f t="shared" si="42"/>
        <v>-74.637128156948989</v>
      </c>
      <c r="Y172" s="79">
        <f t="shared" si="42"/>
        <v>0</v>
      </c>
      <c r="AQ172" s="3"/>
    </row>
    <row r="173" spans="3:43" x14ac:dyDescent="0.25">
      <c r="C173" s="27"/>
      <c r="F173" t="s">
        <v>197</v>
      </c>
      <c r="G173" t="s">
        <v>173</v>
      </c>
      <c r="H173" s="53"/>
      <c r="J173" s="79">
        <f t="shared" ref="J173:Y173" si="43">J147 * (1 - J28)</f>
        <v>0</v>
      </c>
      <c r="K173" s="79">
        <f t="shared" si="43"/>
        <v>0</v>
      </c>
      <c r="L173" s="79">
        <f t="shared" si="43"/>
        <v>0</v>
      </c>
      <c r="M173" s="79">
        <f t="shared" si="43"/>
        <v>0</v>
      </c>
      <c r="N173" s="79">
        <f t="shared" si="43"/>
        <v>0</v>
      </c>
      <c r="O173" s="79">
        <f t="shared" si="43"/>
        <v>0</v>
      </c>
      <c r="P173" s="79">
        <f t="shared" si="43"/>
        <v>0</v>
      </c>
      <c r="Q173" s="79">
        <f t="shared" si="43"/>
        <v>0</v>
      </c>
      <c r="R173" s="79">
        <f t="shared" si="43"/>
        <v>0</v>
      </c>
      <c r="S173" s="79">
        <f t="shared" si="43"/>
        <v>0</v>
      </c>
      <c r="T173" s="79">
        <f t="shared" si="43"/>
        <v>0</v>
      </c>
      <c r="U173" s="79">
        <f t="shared" si="43"/>
        <v>0</v>
      </c>
      <c r="V173" s="79">
        <f t="shared" si="43"/>
        <v>0</v>
      </c>
      <c r="W173" s="79">
        <f t="shared" si="43"/>
        <v>0</v>
      </c>
      <c r="X173" s="79">
        <f t="shared" si="43"/>
        <v>0</v>
      </c>
      <c r="Y173" s="79">
        <f t="shared" si="43"/>
        <v>0</v>
      </c>
      <c r="AQ173" s="3"/>
    </row>
    <row r="174" spans="3:43" x14ac:dyDescent="0.25">
      <c r="C174" s="27"/>
      <c r="F174" t="s">
        <v>198</v>
      </c>
      <c r="G174" t="s">
        <v>173</v>
      </c>
      <c r="H174" s="53"/>
      <c r="J174" s="79">
        <f t="shared" ref="J174:Y174" si="44">J148 * (1 - J29)</f>
        <v>1127.9556212641232</v>
      </c>
      <c r="K174" s="79">
        <f t="shared" si="44"/>
        <v>0.82850514496541305</v>
      </c>
      <c r="L174" s="79">
        <f t="shared" si="44"/>
        <v>374.9216058803114</v>
      </c>
      <c r="M174" s="79">
        <f t="shared" si="44"/>
        <v>0.42075470637330448</v>
      </c>
      <c r="N174" s="79">
        <f t="shared" si="44"/>
        <v>177.79688153612005</v>
      </c>
      <c r="O174" s="79">
        <f t="shared" si="44"/>
        <v>0</v>
      </c>
      <c r="P174" s="79">
        <f t="shared" si="44"/>
        <v>0</v>
      </c>
      <c r="Q174" s="79">
        <f t="shared" si="44"/>
        <v>15.885776524346124</v>
      </c>
      <c r="R174" s="79">
        <f t="shared" si="44"/>
        <v>-1.0334979304638496</v>
      </c>
      <c r="S174" s="79">
        <f t="shared" si="44"/>
        <v>0</v>
      </c>
      <c r="T174" s="79">
        <f t="shared" si="44"/>
        <v>-7.4391280662830557</v>
      </c>
      <c r="U174" s="79">
        <f t="shared" si="44"/>
        <v>0</v>
      </c>
      <c r="V174" s="79">
        <f t="shared" si="44"/>
        <v>-1.7440763553350673</v>
      </c>
      <c r="W174" s="79">
        <f t="shared" si="44"/>
        <v>0</v>
      </c>
      <c r="X174" s="79">
        <f t="shared" si="44"/>
        <v>0</v>
      </c>
      <c r="Y174" s="79">
        <f t="shared" si="44"/>
        <v>0</v>
      </c>
      <c r="AQ174" s="3"/>
    </row>
    <row r="175" spans="3:43" x14ac:dyDescent="0.25">
      <c r="C175" s="27"/>
      <c r="F175" t="s">
        <v>199</v>
      </c>
      <c r="G175" t="s">
        <v>173</v>
      </c>
      <c r="H175" s="53"/>
      <c r="J175" s="79">
        <f t="shared" ref="J175:Y175" si="45">J149 * (1 - J30)</f>
        <v>1114.9781836273355</v>
      </c>
      <c r="K175" s="79">
        <f t="shared" si="45"/>
        <v>0.81897296688335652</v>
      </c>
      <c r="L175" s="79">
        <f t="shared" si="45"/>
        <v>370.60803035723973</v>
      </c>
      <c r="M175" s="79">
        <f t="shared" si="45"/>
        <v>0.41591380850515525</v>
      </c>
      <c r="N175" s="79">
        <f t="shared" si="45"/>
        <v>0</v>
      </c>
      <c r="O175" s="79">
        <f t="shared" si="45"/>
        <v>0</v>
      </c>
      <c r="P175" s="79">
        <f t="shared" si="45"/>
        <v>0</v>
      </c>
      <c r="Q175" s="79">
        <f t="shared" si="45"/>
        <v>15.703006324641278</v>
      </c>
      <c r="R175" s="79">
        <f t="shared" si="45"/>
        <v>-1.0216072543703056</v>
      </c>
      <c r="S175" s="79">
        <f t="shared" si="45"/>
        <v>0</v>
      </c>
      <c r="T175" s="79">
        <f t="shared" si="45"/>
        <v>-7.3535388651369411</v>
      </c>
      <c r="U175" s="79">
        <f t="shared" si="45"/>
        <v>0</v>
      </c>
      <c r="V175" s="79">
        <f t="shared" si="45"/>
        <v>0</v>
      </c>
      <c r="W175" s="79">
        <f t="shared" si="45"/>
        <v>0</v>
      </c>
      <c r="X175" s="79">
        <f t="shared" si="45"/>
        <v>0</v>
      </c>
      <c r="Y175" s="79">
        <f t="shared" si="45"/>
        <v>0</v>
      </c>
      <c r="AQ175" s="3"/>
    </row>
    <row r="176" spans="3:43" x14ac:dyDescent="0.25">
      <c r="C176" s="27"/>
      <c r="F176" s="28" t="s">
        <v>200</v>
      </c>
      <c r="G176" s="28" t="s">
        <v>173</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15.480373909830671</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101</v>
      </c>
      <c r="G177" s="98" t="s">
        <v>173</v>
      </c>
      <c r="H177" s="158"/>
      <c r="I177" s="98"/>
      <c r="J177" s="157">
        <f t="shared" ref="J177:Y177" si="47">SUM(J168:J176)</f>
        <v>8249.0759356067701</v>
      </c>
      <c r="K177" s="157">
        <f t="shared" si="47"/>
        <v>4.1202069536267558</v>
      </c>
      <c r="L177" s="157">
        <f t="shared" si="47"/>
        <v>2626.4516847300138</v>
      </c>
      <c r="M177" s="157">
        <f t="shared" si="47"/>
        <v>2.1698605109516835</v>
      </c>
      <c r="N177" s="157">
        <f t="shared" si="47"/>
        <v>1310.7527747201445</v>
      </c>
      <c r="O177" s="157">
        <f t="shared" si="47"/>
        <v>510.12128575175825</v>
      </c>
      <c r="P177" s="157">
        <f t="shared" si="47"/>
        <v>1127.0845952741615</v>
      </c>
      <c r="Q177" s="157">
        <f t="shared" si="47"/>
        <v>139.96567177500091</v>
      </c>
      <c r="R177" s="157">
        <f t="shared" si="47"/>
        <v>-7.0828249789246946</v>
      </c>
      <c r="S177" s="157">
        <f t="shared" si="47"/>
        <v>0</v>
      </c>
      <c r="T177" s="157">
        <f t="shared" si="47"/>
        <v>-50.935695916647525</v>
      </c>
      <c r="U177" s="157">
        <f t="shared" si="47"/>
        <v>0</v>
      </c>
      <c r="V177" s="157">
        <f t="shared" si="47"/>
        <v>-10.326277457196012</v>
      </c>
      <c r="W177" s="157">
        <f t="shared" si="47"/>
        <v>0</v>
      </c>
      <c r="X177" s="157">
        <f t="shared" si="47"/>
        <v>-368.60143070192328</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251</v>
      </c>
      <c r="G188" t="s">
        <v>252</v>
      </c>
      <c r="J188" s="110">
        <f>'Volume adjustments'!J286</f>
        <v>0</v>
      </c>
      <c r="K188" s="110">
        <f>'Volume adjustments'!K286</f>
        <v>0</v>
      </c>
      <c r="L188" s="110">
        <f>'Volume adjustments'!L286</f>
        <v>0</v>
      </c>
      <c r="M188" s="110">
        <f>'Volume adjustments'!M286</f>
        <v>0</v>
      </c>
      <c r="N188" s="110">
        <f>'Volume adjustments'!N286</f>
        <v>847840.78662223881</v>
      </c>
      <c r="O188" s="110">
        <f>'Volume adjustments'!O286</f>
        <v>376968.93937500403</v>
      </c>
      <c r="P188" s="110">
        <f>'Volume adjustments'!P286</f>
        <v>970267.91947333212</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253</v>
      </c>
      <c r="G189" t="s">
        <v>252</v>
      </c>
      <c r="J189" s="110">
        <f>'Volume adjustments'!J297</f>
        <v>0</v>
      </c>
      <c r="K189" s="110">
        <f>'Volume adjustments'!K297</f>
        <v>0</v>
      </c>
      <c r="L189" s="110">
        <f>'Volume adjustments'!L297</f>
        <v>0</v>
      </c>
      <c r="M189" s="110">
        <f>'Volume adjustments'!M297</f>
        <v>0</v>
      </c>
      <c r="N189" s="110">
        <f>'Volume adjustments'!N297</f>
        <v>20561.35999032767</v>
      </c>
      <c r="O189" s="110">
        <f>'Volume adjustments'!O297</f>
        <v>5110.0410932696514</v>
      </c>
      <c r="P189" s="110">
        <f>'Volume adjustments'!P297</f>
        <v>5216.5020264694094</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252</v>
      </c>
      <c r="J191" s="79">
        <f t="shared" ref="J191:Y191" si="48">SUM(J188:J189)</f>
        <v>0</v>
      </c>
      <c r="K191" s="79">
        <f t="shared" si="48"/>
        <v>0</v>
      </c>
      <c r="L191" s="79">
        <f t="shared" si="48"/>
        <v>0</v>
      </c>
      <c r="M191" s="79">
        <f t="shared" si="48"/>
        <v>0</v>
      </c>
      <c r="N191" s="79">
        <f t="shared" si="48"/>
        <v>868402.14661256643</v>
      </c>
      <c r="O191" s="79">
        <f t="shared" si="48"/>
        <v>382078.98046827369</v>
      </c>
      <c r="P191" s="79">
        <f t="shared" si="48"/>
        <v>975484.42149980157</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173</v>
      </c>
      <c r="J192" s="79">
        <f t="shared" ref="J192:Y192" si="49">J191 * PowerFactor / thousand</f>
        <v>0</v>
      </c>
      <c r="K192" s="79">
        <f t="shared" si="49"/>
        <v>0</v>
      </c>
      <c r="L192" s="79">
        <f t="shared" si="49"/>
        <v>0</v>
      </c>
      <c r="M192" s="79">
        <f t="shared" si="49"/>
        <v>0</v>
      </c>
      <c r="N192" s="79">
        <f t="shared" si="49"/>
        <v>824.98203928193811</v>
      </c>
      <c r="O192" s="79">
        <f t="shared" si="49"/>
        <v>362.97503144486001</v>
      </c>
      <c r="P192" s="79">
        <f t="shared" si="49"/>
        <v>926.71020042481143</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222</v>
      </c>
      <c r="G198" t="s">
        <v>210</v>
      </c>
      <c r="H198" s="156"/>
      <c r="I198" t="s">
        <v>155</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173</v>
      </c>
      <c r="H200" s="53"/>
      <c r="I200" t="s">
        <v>155</v>
      </c>
      <c r="J200" s="111">
        <f t="shared" ref="J200:Q200" si="50">IF(J61 = 0, 0, J59 / (hours_in_year * J61))</f>
        <v>1354.5034939642301</v>
      </c>
      <c r="K200" s="111">
        <f t="shared" si="50"/>
        <v>22.428758050721136</v>
      </c>
      <c r="L200" s="111">
        <f t="shared" si="50"/>
        <v>476.84704110389299</v>
      </c>
      <c r="M200" s="111">
        <f t="shared" si="50"/>
        <v>8.6498365916565625</v>
      </c>
      <c r="N200" s="111">
        <f t="shared" si="50"/>
        <v>274.75652474314137</v>
      </c>
      <c r="O200" s="111">
        <f t="shared" si="50"/>
        <v>125.03457976681619</v>
      </c>
      <c r="P200" s="111">
        <f t="shared" si="50"/>
        <v>343.66147545676409</v>
      </c>
      <c r="Q200" s="111">
        <f t="shared" si="50"/>
        <v>23.018312847576613</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173</v>
      </c>
      <c r="H202" s="53"/>
      <c r="I202" t="s">
        <v>155</v>
      </c>
      <c r="J202" s="79">
        <f t="shared" ref="J202:Y202" si="51">J192 * J42 / $H53</f>
        <v>0</v>
      </c>
      <c r="K202" s="79">
        <f t="shared" si="51"/>
        <v>0</v>
      </c>
      <c r="L202" s="79">
        <f t="shared" si="51"/>
        <v>0</v>
      </c>
      <c r="M202" s="79">
        <f t="shared" si="51"/>
        <v>0</v>
      </c>
      <c r="N202" s="79">
        <f t="shared" si="51"/>
        <v>824.98203928193811</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173</v>
      </c>
      <c r="H204" s="53"/>
      <c r="J204" s="79">
        <f t="shared" ref="J204:Y204" si="52">IF(J198, J$200 * J42 / $H53, 0)</f>
        <v>1354.5034939642301</v>
      </c>
      <c r="K204" s="79">
        <f t="shared" si="52"/>
        <v>0</v>
      </c>
      <c r="L204" s="79">
        <f t="shared" si="52"/>
        <v>476.84704110389299</v>
      </c>
      <c r="M204" s="79">
        <f t="shared" si="52"/>
        <v>0</v>
      </c>
      <c r="N204" s="79">
        <f t="shared" si="52"/>
        <v>274.75652474314137</v>
      </c>
      <c r="O204" s="79">
        <f t="shared" si="52"/>
        <v>0</v>
      </c>
      <c r="P204" s="79">
        <f t="shared" si="52"/>
        <v>0</v>
      </c>
      <c r="Q204" s="79">
        <f t="shared" si="52"/>
        <v>23.018312847576613</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173</v>
      </c>
      <c r="H206" s="53"/>
      <c r="J206" s="79">
        <f t="shared" ref="J206:Y206" si="53">IF(J202 = 0, J204, J202)</f>
        <v>1354.5034939642301</v>
      </c>
      <c r="K206" s="79">
        <f t="shared" si="53"/>
        <v>0</v>
      </c>
      <c r="L206" s="79">
        <f t="shared" si="53"/>
        <v>476.84704110389299</v>
      </c>
      <c r="M206" s="79">
        <f t="shared" si="53"/>
        <v>0</v>
      </c>
      <c r="N206" s="79">
        <f t="shared" si="53"/>
        <v>824.98203928193811</v>
      </c>
      <c r="O206" s="79">
        <f t="shared" si="53"/>
        <v>0</v>
      </c>
      <c r="P206" s="79">
        <f t="shared" si="53"/>
        <v>0</v>
      </c>
      <c r="Q206" s="79">
        <f t="shared" si="53"/>
        <v>23.018312847576613</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173</v>
      </c>
      <c r="H208" s="53"/>
      <c r="I208" t="s">
        <v>155</v>
      </c>
      <c r="J208" s="79">
        <f t="shared" ref="J208:Y208" si="54">J150</f>
        <v>1099.1703643887627</v>
      </c>
      <c r="K208" s="79">
        <f t="shared" si="54"/>
        <v>0.8073618189596794</v>
      </c>
      <c r="L208" s="79">
        <f t="shared" si="54"/>
        <v>365.35366319716536</v>
      </c>
      <c r="M208" s="79">
        <f t="shared" si="54"/>
        <v>0.41001710989685908</v>
      </c>
      <c r="N208" s="79">
        <f t="shared" si="54"/>
        <v>216.5744150091443</v>
      </c>
      <c r="O208" s="79">
        <f t="shared" si="54"/>
        <v>0</v>
      </c>
      <c r="P208" s="79">
        <f t="shared" si="54"/>
        <v>0</v>
      </c>
      <c r="Q208" s="79">
        <f t="shared" si="54"/>
        <v>15.480373909830671</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168</v>
      </c>
      <c r="H210" s="161">
        <f>SUM(J206:Y206) / SUM(J208:Y208) - 1</f>
        <v>0.57813458081940539</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192</v>
      </c>
      <c r="G214" s="19" t="s">
        <v>168</v>
      </c>
      <c r="H214" s="97">
        <f t="array" ref="H214:H222">TRANSPOSE('Load &amp; loss characteristics'!K23:S23)</f>
        <v>2.200000000000002E-2</v>
      </c>
      <c r="J214" s="53"/>
      <c r="K214" s="74"/>
      <c r="L214" s="53"/>
      <c r="M214" s="74"/>
      <c r="AQ214" s="3"/>
    </row>
    <row r="215" spans="5:43" x14ac:dyDescent="0.25">
      <c r="E215" s="27"/>
      <c r="F215" t="s">
        <v>193</v>
      </c>
      <c r="G215" t="s">
        <v>168</v>
      </c>
      <c r="H215" s="21">
        <v>5.3682000000000007E-2</v>
      </c>
      <c r="J215" s="53"/>
      <c r="L215" s="53"/>
      <c r="AQ215" s="3"/>
    </row>
    <row r="216" spans="5:43" x14ac:dyDescent="0.25">
      <c r="E216" s="27"/>
      <c r="F216" t="s">
        <v>194</v>
      </c>
      <c r="G216" t="s">
        <v>168</v>
      </c>
      <c r="H216" s="21">
        <v>5.3682000000000007E-2</v>
      </c>
      <c r="J216" s="53"/>
      <c r="L216" s="53"/>
      <c r="AQ216" s="3"/>
    </row>
    <row r="217" spans="5:43" x14ac:dyDescent="0.25">
      <c r="E217" s="27"/>
      <c r="F217" t="s">
        <v>195</v>
      </c>
      <c r="G217" t="s">
        <v>168</v>
      </c>
      <c r="H217" s="21">
        <v>0.13270815000000002</v>
      </c>
      <c r="J217" s="53"/>
      <c r="L217" s="53"/>
      <c r="AQ217" s="3"/>
    </row>
    <row r="218" spans="5:43" x14ac:dyDescent="0.25">
      <c r="E218" s="27"/>
      <c r="F218" t="s">
        <v>196</v>
      </c>
      <c r="G218" t="s">
        <v>168</v>
      </c>
      <c r="H218" s="21">
        <v>0.13270815000000002</v>
      </c>
      <c r="J218" s="53"/>
      <c r="L218" s="53"/>
      <c r="AQ218" s="3"/>
    </row>
    <row r="219" spans="5:43" x14ac:dyDescent="0.25">
      <c r="E219" s="27"/>
      <c r="F219" t="s">
        <v>197</v>
      </c>
      <c r="G219" t="s">
        <v>168</v>
      </c>
      <c r="H219" s="21">
        <v>5.3682000000000007E-2</v>
      </c>
      <c r="J219" s="53"/>
      <c r="L219" s="53"/>
      <c r="AQ219" s="3"/>
    </row>
    <row r="220" spans="5:43" x14ac:dyDescent="0.25">
      <c r="E220" s="27"/>
      <c r="F220" t="s">
        <v>198</v>
      </c>
      <c r="G220" t="s">
        <v>168</v>
      </c>
      <c r="H220" s="21">
        <v>0.55181016550000006</v>
      </c>
      <c r="J220" s="53"/>
      <c r="L220" s="53"/>
      <c r="AQ220" s="3"/>
    </row>
    <row r="221" spans="5:43" x14ac:dyDescent="0.25">
      <c r="E221" s="27"/>
      <c r="F221" t="s">
        <v>199</v>
      </c>
      <c r="G221" t="s">
        <v>168</v>
      </c>
      <c r="H221" s="21">
        <v>0.55181016550000006</v>
      </c>
      <c r="J221" s="53"/>
      <c r="L221" s="53"/>
      <c r="AQ221" s="3"/>
    </row>
    <row r="222" spans="5:43" x14ac:dyDescent="0.25">
      <c r="E222" s="27"/>
      <c r="F222" s="28" t="s">
        <v>200</v>
      </c>
      <c r="G222" s="28" t="s">
        <v>168</v>
      </c>
      <c r="H222" s="131">
        <v>0.55181016550000006</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192</v>
      </c>
      <c r="G226" s="19" t="s">
        <v>168</v>
      </c>
      <c r="H226" s="162">
        <f t="shared" ref="H226:H233" si="55">IF(F226 = $F$234, $H$210, H214)</f>
        <v>2.200000000000002E-2</v>
      </c>
      <c r="J226" s="53"/>
      <c r="L226" s="53"/>
      <c r="AQ226" s="3"/>
    </row>
    <row r="227" spans="3:43" x14ac:dyDescent="0.25">
      <c r="C227" s="27"/>
      <c r="F227" t="s">
        <v>193</v>
      </c>
      <c r="G227" t="s">
        <v>168</v>
      </c>
      <c r="H227" s="101">
        <f t="shared" si="55"/>
        <v>5.3682000000000007E-2</v>
      </c>
      <c r="J227" s="53"/>
      <c r="L227" s="53"/>
      <c r="AQ227" s="3"/>
    </row>
    <row r="228" spans="3:43" x14ac:dyDescent="0.25">
      <c r="C228" s="27"/>
      <c r="F228" t="s">
        <v>194</v>
      </c>
      <c r="G228" t="s">
        <v>168</v>
      </c>
      <c r="H228" s="101">
        <f t="shared" si="55"/>
        <v>5.3682000000000007E-2</v>
      </c>
      <c r="J228" s="53"/>
      <c r="L228" s="53"/>
      <c r="AQ228" s="3"/>
    </row>
    <row r="229" spans="3:43" x14ac:dyDescent="0.25">
      <c r="C229" s="27"/>
      <c r="F229" t="s">
        <v>195</v>
      </c>
      <c r="G229" t="s">
        <v>168</v>
      </c>
      <c r="H229" s="101">
        <f t="shared" si="55"/>
        <v>0.13270815000000002</v>
      </c>
      <c r="J229" s="53"/>
      <c r="L229" s="53"/>
      <c r="AQ229" s="3"/>
    </row>
    <row r="230" spans="3:43" x14ac:dyDescent="0.25">
      <c r="C230" s="27"/>
      <c r="F230" t="s">
        <v>196</v>
      </c>
      <c r="G230" t="s">
        <v>168</v>
      </c>
      <c r="H230" s="101">
        <f t="shared" si="55"/>
        <v>0.13270815000000002</v>
      </c>
      <c r="J230" s="53"/>
      <c r="L230" s="53"/>
      <c r="AQ230" s="3"/>
    </row>
    <row r="231" spans="3:43" x14ac:dyDescent="0.25">
      <c r="C231" s="27"/>
      <c r="F231" t="s">
        <v>197</v>
      </c>
      <c r="G231" t="s">
        <v>168</v>
      </c>
      <c r="H231" s="101">
        <f t="shared" si="55"/>
        <v>5.3682000000000007E-2</v>
      </c>
      <c r="J231" s="53"/>
      <c r="L231" s="53"/>
      <c r="AQ231" s="3"/>
    </row>
    <row r="232" spans="3:43" x14ac:dyDescent="0.25">
      <c r="C232" s="27"/>
      <c r="F232" t="s">
        <v>198</v>
      </c>
      <c r="G232" t="s">
        <v>168</v>
      </c>
      <c r="H232" s="101">
        <f t="shared" si="55"/>
        <v>0.55181016550000006</v>
      </c>
      <c r="J232" s="53"/>
      <c r="L232" s="53"/>
      <c r="AQ232" s="3"/>
    </row>
    <row r="233" spans="3:43" x14ac:dyDescent="0.25">
      <c r="C233" s="27"/>
      <c r="F233" t="s">
        <v>199</v>
      </c>
      <c r="G233" t="s">
        <v>168</v>
      </c>
      <c r="H233" s="101">
        <f t="shared" si="55"/>
        <v>0.55181016550000006</v>
      </c>
      <c r="J233" s="53"/>
      <c r="L233" s="53"/>
      <c r="AQ233" s="3"/>
    </row>
    <row r="234" spans="3:43" x14ac:dyDescent="0.25">
      <c r="C234" s="27"/>
      <c r="F234" s="28" t="s">
        <v>200</v>
      </c>
      <c r="G234" s="28" t="s">
        <v>168</v>
      </c>
      <c r="H234" s="133">
        <f>IF(F234 = $F$234, $H$210, H222)</f>
        <v>0.57813458081940539</v>
      </c>
      <c r="J234" s="53"/>
      <c r="L234" s="53"/>
      <c r="AQ234" s="3"/>
    </row>
    <row r="235" spans="3:43" x14ac:dyDescent="0.25">
      <c r="H235" s="156"/>
    </row>
    <row r="236" spans="3:43" x14ac:dyDescent="0.25">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192</v>
      </c>
      <c r="G239" s="19" t="s">
        <v>173</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193</v>
      </c>
      <c r="G240" t="s">
        <v>173</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0</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194</v>
      </c>
      <c r="G241" t="s">
        <v>173</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195</v>
      </c>
      <c r="G242" t="s">
        <v>173</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167.0295092897199</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196</v>
      </c>
      <c r="G243" t="s">
        <v>173</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831.85307880974892</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197</v>
      </c>
      <c r="G244" t="s">
        <v>173</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0</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198</v>
      </c>
      <c r="G245" t="s">
        <v>173</v>
      </c>
      <c r="H245" s="53"/>
      <c r="J245" s="79">
        <f t="shared" ref="J245:Y245" si="62">J$192 * J29 * J40 / (1 + $H232) / $H51</f>
        <v>0</v>
      </c>
      <c r="K245" s="79">
        <f t="shared" si="62"/>
        <v>0</v>
      </c>
      <c r="L245" s="79">
        <f t="shared" si="62"/>
        <v>0</v>
      </c>
      <c r="M245" s="79">
        <f t="shared" si="62"/>
        <v>0</v>
      </c>
      <c r="N245" s="79">
        <f t="shared" si="62"/>
        <v>109.10958381101325</v>
      </c>
      <c r="O245" s="79">
        <f t="shared" si="62"/>
        <v>236.62673002352088</v>
      </c>
      <c r="P245" s="79">
        <f t="shared" si="62"/>
        <v>597.18013261385056</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199</v>
      </c>
      <c r="G246" t="s">
        <v>173</v>
      </c>
      <c r="H246" s="53"/>
      <c r="J246" s="79">
        <f t="shared" ref="J246:Y246" si="63">J$192 * J30 * J41 / (1 + $H233) / $H52</f>
        <v>0</v>
      </c>
      <c r="K246" s="79">
        <f t="shared" si="63"/>
        <v>0</v>
      </c>
      <c r="L246" s="79">
        <f t="shared" si="63"/>
        <v>0</v>
      </c>
      <c r="M246" s="79">
        <f t="shared" si="63"/>
        <v>0</v>
      </c>
      <c r="N246" s="79">
        <f t="shared" si="63"/>
        <v>539.27124117523806</v>
      </c>
      <c r="O246" s="79">
        <f t="shared" si="63"/>
        <v>233.90427483628957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200</v>
      </c>
      <c r="G247" s="28" t="s">
        <v>173</v>
      </c>
      <c r="H247" s="120"/>
      <c r="I247" s="28"/>
      <c r="J247" s="72">
        <f t="shared" ref="J247:Y247" si="64">J$192 * J31 * J42 / (1 + $H234) / $H53</f>
        <v>0</v>
      </c>
      <c r="K247" s="72">
        <f t="shared" si="64"/>
        <v>0</v>
      </c>
      <c r="L247" s="72">
        <f t="shared" si="64"/>
        <v>0</v>
      </c>
      <c r="M247" s="72">
        <f t="shared" si="64"/>
        <v>0</v>
      </c>
      <c r="N247" s="72">
        <f t="shared" si="64"/>
        <v>522.7577225090572</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192</v>
      </c>
      <c r="G252" s="119" t="s">
        <v>173</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193</v>
      </c>
      <c r="G253" s="53" t="s">
        <v>173</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194</v>
      </c>
      <c r="G254" s="53" t="s">
        <v>173</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195</v>
      </c>
      <c r="G255" s="53" t="s">
        <v>173</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196</v>
      </c>
      <c r="G256" s="53" t="s">
        <v>173</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197</v>
      </c>
      <c r="G257" s="53" t="s">
        <v>173</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198</v>
      </c>
      <c r="G258" s="53" t="s">
        <v>173</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199</v>
      </c>
      <c r="G259" s="53" t="s">
        <v>173</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200</v>
      </c>
      <c r="G260" s="120" t="s">
        <v>173</v>
      </c>
      <c r="H260" s="120"/>
      <c r="I260" s="28"/>
      <c r="J260" s="72">
        <f t="shared" ref="J260:Y260" si="73">IF(AND(J$192 = 0, J$198), J$200 * J31 * J42 / (1 + $H234) / $H53, 0)</f>
        <v>858.29403298477837</v>
      </c>
      <c r="K260" s="72">
        <f t="shared" si="73"/>
        <v>0</v>
      </c>
      <c r="L260" s="72">
        <f t="shared" si="73"/>
        <v>302.15866688397551</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192</v>
      </c>
      <c r="G269" s="19" t="s">
        <v>173</v>
      </c>
      <c r="H269" s="91">
        <f t="shared" ref="H269:H277" si="74">SUM(J269:Y269)</f>
        <v>2184.6746030280228</v>
      </c>
      <c r="I269" s="148"/>
      <c r="J269" s="148">
        <f t="shared" ref="J269:Y269" si="75">J239 + J252 + J168</f>
        <v>1251.5317668796586</v>
      </c>
      <c r="K269" s="148">
        <f t="shared" si="75"/>
        <v>0.17678906335466371</v>
      </c>
      <c r="L269" s="148">
        <f t="shared" si="75"/>
        <v>369.28098273711066</v>
      </c>
      <c r="M269" s="148">
        <f t="shared" si="75"/>
        <v>0.11827859639667301</v>
      </c>
      <c r="N269" s="148">
        <f t="shared" si="75"/>
        <v>226.16356656387234</v>
      </c>
      <c r="O269" s="148">
        <f t="shared" si="75"/>
        <v>101.40470812321824</v>
      </c>
      <c r="P269" s="148">
        <f t="shared" si="75"/>
        <v>296.45013415766653</v>
      </c>
      <c r="Q269" s="148">
        <f t="shared" si="75"/>
        <v>21.430623505702883</v>
      </c>
      <c r="R269" s="148">
        <f t="shared" si="75"/>
        <v>-0.9529901492671673</v>
      </c>
      <c r="S269" s="148">
        <f t="shared" si="75"/>
        <v>0</v>
      </c>
      <c r="T269" s="148">
        <f t="shared" si="75"/>
        <v>-6.8543626748522248</v>
      </c>
      <c r="U269" s="148">
        <f t="shared" si="75"/>
        <v>0</v>
      </c>
      <c r="V269" s="148">
        <f t="shared" si="75"/>
        <v>-1.65142457175479</v>
      </c>
      <c r="W269" s="148">
        <f t="shared" si="75"/>
        <v>0</v>
      </c>
      <c r="X269" s="148">
        <f t="shared" si="75"/>
        <v>-72.423469203083812</v>
      </c>
      <c r="Y269" s="148">
        <f t="shared" si="75"/>
        <v>0</v>
      </c>
      <c r="AQ269" s="3"/>
    </row>
    <row r="270" spans="2:43" x14ac:dyDescent="0.25">
      <c r="C270" s="27"/>
      <c r="F270" t="s">
        <v>193</v>
      </c>
      <c r="G270" t="s">
        <v>173</v>
      </c>
      <c r="H270" s="111">
        <f t="shared" si="74"/>
        <v>2169.1219279743395</v>
      </c>
      <c r="I270" s="79"/>
      <c r="J270" s="79">
        <f t="shared" ref="J270:Y270" si="76">J240 + J253 + J169</f>
        <v>1230.619473266534</v>
      </c>
      <c r="K270" s="79">
        <f t="shared" si="76"/>
        <v>0.30451310891338129</v>
      </c>
      <c r="L270" s="79">
        <f t="shared" si="76"/>
        <v>374.60461749755513</v>
      </c>
      <c r="M270" s="79">
        <f t="shared" si="76"/>
        <v>0.17915766215390899</v>
      </c>
      <c r="N270" s="79">
        <f t="shared" si="76"/>
        <v>227.429619433102</v>
      </c>
      <c r="O270" s="79">
        <f t="shared" si="76"/>
        <v>102.15413816306118</v>
      </c>
      <c r="P270" s="79">
        <f t="shared" si="76"/>
        <v>297.45087153574258</v>
      </c>
      <c r="Q270" s="79">
        <f t="shared" si="76"/>
        <v>19.587874946865941</v>
      </c>
      <c r="R270" s="79">
        <f t="shared" si="76"/>
        <v>-0.98642415068983214</v>
      </c>
      <c r="S270" s="79">
        <f t="shared" si="76"/>
        <v>0</v>
      </c>
      <c r="T270" s="79">
        <f t="shared" si="76"/>
        <v>-7.079610874619541</v>
      </c>
      <c r="U270" s="79">
        <f t="shared" si="76"/>
        <v>0</v>
      </c>
      <c r="V270" s="79">
        <f t="shared" si="76"/>
        <v>-1.6919308335540626</v>
      </c>
      <c r="W270" s="79">
        <f t="shared" si="76"/>
        <v>0</v>
      </c>
      <c r="X270" s="79">
        <f t="shared" si="76"/>
        <v>-73.450371780725561</v>
      </c>
      <c r="Y270" s="79">
        <f t="shared" si="76"/>
        <v>0</v>
      </c>
      <c r="AQ270" s="3"/>
    </row>
    <row r="271" spans="2:43" x14ac:dyDescent="0.25">
      <c r="C271" s="27"/>
      <c r="F271" t="s">
        <v>194</v>
      </c>
      <c r="G271" t="s">
        <v>173</v>
      </c>
      <c r="H271" s="111">
        <f t="shared" si="74"/>
        <v>2160.480007942569</v>
      </c>
      <c r="I271" s="79"/>
      <c r="J271" s="79">
        <f t="shared" ref="J271:Y271" si="77">J241 + J254 + J170</f>
        <v>1225.7166068391773</v>
      </c>
      <c r="K271" s="79">
        <f t="shared" si="77"/>
        <v>0.30329990927627615</v>
      </c>
      <c r="L271" s="79">
        <f t="shared" si="77"/>
        <v>373.11216882226603</v>
      </c>
      <c r="M271" s="79">
        <f t="shared" si="77"/>
        <v>0.17844388660747912</v>
      </c>
      <c r="N271" s="79">
        <f t="shared" si="77"/>
        <v>226.52352533177486</v>
      </c>
      <c r="O271" s="79">
        <f t="shared" si="77"/>
        <v>101.74714956480197</v>
      </c>
      <c r="P271" s="79">
        <f t="shared" si="77"/>
        <v>296.26580830253243</v>
      </c>
      <c r="Q271" s="79">
        <f t="shared" si="77"/>
        <v>19.509835604448149</v>
      </c>
      <c r="R271" s="79">
        <f t="shared" si="77"/>
        <v>-0.98249417399385663</v>
      </c>
      <c r="S271" s="79">
        <f t="shared" si="77"/>
        <v>0</v>
      </c>
      <c r="T271" s="79">
        <f t="shared" si="77"/>
        <v>-7.0514052536051199</v>
      </c>
      <c r="U271" s="79">
        <f t="shared" si="77"/>
        <v>0</v>
      </c>
      <c r="V271" s="79">
        <f t="shared" si="77"/>
        <v>-1.6851900732610188</v>
      </c>
      <c r="W271" s="79">
        <f t="shared" si="77"/>
        <v>0</v>
      </c>
      <c r="X271" s="79">
        <f t="shared" si="77"/>
        <v>-73.157740817455732</v>
      </c>
      <c r="Y271" s="79">
        <f t="shared" si="77"/>
        <v>0</v>
      </c>
      <c r="AQ271" s="3"/>
    </row>
    <row r="272" spans="2:43" x14ac:dyDescent="0.25">
      <c r="C272" s="27"/>
      <c r="F272" t="s">
        <v>195</v>
      </c>
      <c r="G272" t="s">
        <v>173</v>
      </c>
      <c r="H272" s="111">
        <f t="shared" si="74"/>
        <v>2199.6790119632042</v>
      </c>
      <c r="I272" s="79"/>
      <c r="J272" s="79">
        <f t="shared" ref="J272:Y272" si="78">J242 + J255 + J171</f>
        <v>1151.4081638844664</v>
      </c>
      <c r="K272" s="79">
        <f t="shared" si="78"/>
        <v>0.84573148956370381</v>
      </c>
      <c r="L272" s="79">
        <f t="shared" si="78"/>
        <v>382.71700560653557</v>
      </c>
      <c r="M272" s="79">
        <f t="shared" si="78"/>
        <v>0.42950307155532363</v>
      </c>
      <c r="N272" s="79">
        <f t="shared" si="78"/>
        <v>226.86706047492541</v>
      </c>
      <c r="O272" s="79">
        <f t="shared" si="78"/>
        <v>102.61003160043792</v>
      </c>
      <c r="P272" s="79">
        <f t="shared" si="78"/>
        <v>403.94729056793983</v>
      </c>
      <c r="Q272" s="79">
        <f t="shared" si="78"/>
        <v>16.216074848119657</v>
      </c>
      <c r="R272" s="79">
        <f t="shared" si="78"/>
        <v>-1.0549865012952759</v>
      </c>
      <c r="S272" s="79">
        <f t="shared" si="78"/>
        <v>0</v>
      </c>
      <c r="T272" s="79">
        <f t="shared" si="78"/>
        <v>-7.5938030062750785</v>
      </c>
      <c r="U272" s="79">
        <f t="shared" si="78"/>
        <v>0</v>
      </c>
      <c r="V272" s="79">
        <f t="shared" si="78"/>
        <v>-1.7803393290598557</v>
      </c>
      <c r="W272" s="79">
        <f t="shared" si="78"/>
        <v>0</v>
      </c>
      <c r="X272" s="79">
        <f t="shared" si="78"/>
        <v>-74.932720743709183</v>
      </c>
      <c r="Y272" s="79">
        <f t="shared" si="78"/>
        <v>0</v>
      </c>
      <c r="AQ272" s="3"/>
    </row>
    <row r="273" spans="2:43" x14ac:dyDescent="0.25">
      <c r="C273" s="27"/>
      <c r="F273" t="s">
        <v>196</v>
      </c>
      <c r="G273" t="s">
        <v>173</v>
      </c>
      <c r="H273" s="111">
        <f t="shared" si="74"/>
        <v>2620.5010458799825</v>
      </c>
      <c r="I273" s="79"/>
      <c r="J273" s="79">
        <f t="shared" ref="J273:Y273" si="79">J243 + J256 + J172</f>
        <v>1146.8661198454745</v>
      </c>
      <c r="K273" s="79">
        <f t="shared" si="79"/>
        <v>0.84239527066996134</v>
      </c>
      <c r="L273" s="79">
        <f t="shared" si="79"/>
        <v>381.20727382899503</v>
      </c>
      <c r="M273" s="79">
        <f t="shared" si="79"/>
        <v>0.42780877935983919</v>
      </c>
      <c r="N273" s="79">
        <f t="shared" si="79"/>
        <v>225.97212138034979</v>
      </c>
      <c r="O273" s="79">
        <f t="shared" si="79"/>
        <v>102.20525830023895</v>
      </c>
      <c r="P273" s="79">
        <f t="shared" si="79"/>
        <v>831.85307880974892</v>
      </c>
      <c r="Q273" s="79">
        <f t="shared" si="79"/>
        <v>16.152106111046205</v>
      </c>
      <c r="R273" s="79">
        <f t="shared" si="79"/>
        <v>-1.0508248188444071</v>
      </c>
      <c r="S273" s="79">
        <f t="shared" si="79"/>
        <v>0</v>
      </c>
      <c r="T273" s="79">
        <f t="shared" si="79"/>
        <v>-7.563847175875571</v>
      </c>
      <c r="U273" s="79">
        <f t="shared" si="79"/>
        <v>0</v>
      </c>
      <c r="V273" s="79">
        <f t="shared" si="79"/>
        <v>-1.7733162942312173</v>
      </c>
      <c r="W273" s="79">
        <f t="shared" si="79"/>
        <v>0</v>
      </c>
      <c r="X273" s="79">
        <f t="shared" si="79"/>
        <v>-74.637128156948989</v>
      </c>
      <c r="Y273" s="79">
        <f t="shared" si="79"/>
        <v>0</v>
      </c>
      <c r="AQ273" s="3"/>
    </row>
    <row r="274" spans="2:43" x14ac:dyDescent="0.25">
      <c r="C274" s="27"/>
      <c r="F274" t="s">
        <v>197</v>
      </c>
      <c r="G274" t="s">
        <v>173</v>
      </c>
      <c r="H274" s="111">
        <f t="shared" si="74"/>
        <v>0</v>
      </c>
      <c r="I274" s="79"/>
      <c r="J274" s="79">
        <f t="shared" ref="J274:Y274" si="80">J244 + J257 + J173</f>
        <v>0</v>
      </c>
      <c r="K274" s="79">
        <f t="shared" si="80"/>
        <v>0</v>
      </c>
      <c r="L274" s="79">
        <f t="shared" si="80"/>
        <v>0</v>
      </c>
      <c r="M274" s="79">
        <f t="shared" si="80"/>
        <v>0</v>
      </c>
      <c r="N274" s="79">
        <f t="shared" si="80"/>
        <v>0</v>
      </c>
      <c r="O274" s="79">
        <f t="shared" si="80"/>
        <v>0</v>
      </c>
      <c r="P274" s="79">
        <f t="shared" si="80"/>
        <v>0</v>
      </c>
      <c r="Q274" s="79">
        <f t="shared" si="80"/>
        <v>0</v>
      </c>
      <c r="R274" s="79">
        <f t="shared" si="80"/>
        <v>0</v>
      </c>
      <c r="S274" s="79">
        <f t="shared" si="80"/>
        <v>0</v>
      </c>
      <c r="T274" s="79">
        <f t="shared" si="80"/>
        <v>0</v>
      </c>
      <c r="U274" s="79">
        <f t="shared" si="80"/>
        <v>0</v>
      </c>
      <c r="V274" s="79">
        <f t="shared" si="80"/>
        <v>0</v>
      </c>
      <c r="W274" s="79">
        <f t="shared" si="80"/>
        <v>0</v>
      </c>
      <c r="X274" s="79">
        <f t="shared" si="80"/>
        <v>0</v>
      </c>
      <c r="Y274" s="79">
        <f t="shared" si="80"/>
        <v>0</v>
      </c>
      <c r="AQ274" s="3"/>
    </row>
    <row r="275" spans="2:43" x14ac:dyDescent="0.25">
      <c r="C275" s="27"/>
      <c r="F275" t="s">
        <v>198</v>
      </c>
      <c r="G275" t="s">
        <v>173</v>
      </c>
      <c r="H275" s="111">
        <f t="shared" si="74"/>
        <v>2630.5088891525425</v>
      </c>
      <c r="I275" s="79"/>
      <c r="J275" s="79">
        <f t="shared" ref="J275:Y275" si="81">J245 + J258 + J174</f>
        <v>1127.9556212641232</v>
      </c>
      <c r="K275" s="79">
        <f t="shared" si="81"/>
        <v>0.82850514496541305</v>
      </c>
      <c r="L275" s="79">
        <f t="shared" si="81"/>
        <v>374.9216058803114</v>
      </c>
      <c r="M275" s="79">
        <f t="shared" si="81"/>
        <v>0.42075470637330448</v>
      </c>
      <c r="N275" s="79">
        <f t="shared" si="81"/>
        <v>286.90646534713329</v>
      </c>
      <c r="O275" s="79">
        <f t="shared" si="81"/>
        <v>236.62673002352088</v>
      </c>
      <c r="P275" s="79">
        <f t="shared" si="81"/>
        <v>597.18013261385056</v>
      </c>
      <c r="Q275" s="79">
        <f t="shared" si="81"/>
        <v>15.885776524346124</v>
      </c>
      <c r="R275" s="79">
        <f t="shared" si="81"/>
        <v>-1.0334979304638496</v>
      </c>
      <c r="S275" s="79">
        <f t="shared" si="81"/>
        <v>0</v>
      </c>
      <c r="T275" s="79">
        <f t="shared" si="81"/>
        <v>-7.4391280662830557</v>
      </c>
      <c r="U275" s="79">
        <f t="shared" si="81"/>
        <v>0</v>
      </c>
      <c r="V275" s="79">
        <f t="shared" si="81"/>
        <v>-1.7440763553350673</v>
      </c>
      <c r="W275" s="79">
        <f t="shared" si="81"/>
        <v>0</v>
      </c>
      <c r="X275" s="79">
        <f t="shared" si="81"/>
        <v>0</v>
      </c>
      <c r="Y275" s="79">
        <f t="shared" si="81"/>
        <v>0</v>
      </c>
      <c r="AQ275" s="3"/>
    </row>
    <row r="276" spans="2:43" x14ac:dyDescent="0.25">
      <c r="C276" s="27"/>
      <c r="F276" t="s">
        <v>199</v>
      </c>
      <c r="G276" t="s">
        <v>173</v>
      </c>
      <c r="H276" s="111">
        <f t="shared" si="74"/>
        <v>2267.3244769766252</v>
      </c>
      <c r="I276" s="79"/>
      <c r="J276" s="79">
        <f t="shared" ref="J276:Y276" si="82">J246 + J259 + J175</f>
        <v>1114.9781836273355</v>
      </c>
      <c r="K276" s="79">
        <f t="shared" si="82"/>
        <v>0.81897296688335652</v>
      </c>
      <c r="L276" s="79">
        <f t="shared" si="82"/>
        <v>370.60803035723973</v>
      </c>
      <c r="M276" s="79">
        <f t="shared" si="82"/>
        <v>0.41591380850515525</v>
      </c>
      <c r="N276" s="79">
        <f t="shared" si="82"/>
        <v>539.27124117523806</v>
      </c>
      <c r="O276" s="79">
        <f t="shared" si="82"/>
        <v>233.90427483628957</v>
      </c>
      <c r="P276" s="79">
        <f t="shared" si="82"/>
        <v>0</v>
      </c>
      <c r="Q276" s="79">
        <f t="shared" si="82"/>
        <v>15.703006324641278</v>
      </c>
      <c r="R276" s="79">
        <f t="shared" si="82"/>
        <v>-1.0216072543703056</v>
      </c>
      <c r="S276" s="79">
        <f t="shared" si="82"/>
        <v>0</v>
      </c>
      <c r="T276" s="79">
        <f t="shared" si="82"/>
        <v>-7.3535388651369411</v>
      </c>
      <c r="U276" s="79">
        <f t="shared" si="82"/>
        <v>0</v>
      </c>
      <c r="V276" s="79">
        <f t="shared" si="82"/>
        <v>0</v>
      </c>
      <c r="W276" s="79">
        <f t="shared" si="82"/>
        <v>0</v>
      </c>
      <c r="X276" s="79">
        <f t="shared" si="82"/>
        <v>0</v>
      </c>
      <c r="Y276" s="79">
        <f t="shared" si="82"/>
        <v>0</v>
      </c>
      <c r="AQ276" s="3"/>
    </row>
    <row r="277" spans="2:43" x14ac:dyDescent="0.25">
      <c r="C277" s="27"/>
      <c r="F277" s="28" t="s">
        <v>200</v>
      </c>
      <c r="G277" s="28" t="s">
        <v>173</v>
      </c>
      <c r="H277" s="121">
        <f t="shared" si="74"/>
        <v>1698.6907962876417</v>
      </c>
      <c r="I277" s="72"/>
      <c r="J277" s="72">
        <f t="shared" ref="J277:Y277" si="83">J247 + J260 + J176</f>
        <v>858.29403298477837</v>
      </c>
      <c r="K277" s="72">
        <f t="shared" si="83"/>
        <v>0</v>
      </c>
      <c r="L277" s="72">
        <f t="shared" si="83"/>
        <v>302.15866688397551</v>
      </c>
      <c r="M277" s="72">
        <f t="shared" si="83"/>
        <v>0</v>
      </c>
      <c r="N277" s="72">
        <f t="shared" si="83"/>
        <v>522.7577225090572</v>
      </c>
      <c r="O277" s="72">
        <f t="shared" si="83"/>
        <v>0</v>
      </c>
      <c r="P277" s="72">
        <f t="shared" si="83"/>
        <v>0</v>
      </c>
      <c r="Q277" s="72">
        <f t="shared" si="83"/>
        <v>15.480373909830671</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232</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233</v>
      </c>
      <c r="G281" s="6" t="s">
        <v>56</v>
      </c>
      <c r="H281" s="93">
        <f t="array" ref="H281">SUM(IF(ISERROR(H23:Y277), 1))</f>
        <v>0</v>
      </c>
    </row>
    <row r="283" spans="2:43" x14ac:dyDescent="0.25">
      <c r="B283" s="25" t="s">
        <v>107</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213</v>
      </c>
      <c r="J16" s="110">
        <f>'Volume adjustments'!J275</f>
        <v>1535048.510066451</v>
      </c>
      <c r="K16" s="110">
        <f>'Volume adjustments'!K275</f>
        <v>0</v>
      </c>
      <c r="L16" s="110">
        <f>'Volume adjustments'!L275</f>
        <v>146860.14867252336</v>
      </c>
      <c r="M16" s="110">
        <f>'Volume adjustments'!M275</f>
        <v>0</v>
      </c>
      <c r="N16" s="110">
        <f>'Volume adjustments'!N275</f>
        <v>8091.7667138307979</v>
      </c>
      <c r="O16" s="110">
        <f>'Volume adjustments'!O275</f>
        <v>1734.6014350681921</v>
      </c>
      <c r="P16" s="110">
        <f>'Volume adjustments'!P275</f>
        <v>1127.5786275883395</v>
      </c>
      <c r="Q16" s="110">
        <f>'Volume adjustments'!Q275</f>
        <v>2539</v>
      </c>
      <c r="R16" s="110">
        <f>'Volume adjustments'!R275</f>
        <v>0</v>
      </c>
      <c r="S16" s="110">
        <f>'Volume adjustments'!S275</f>
        <v>0</v>
      </c>
      <c r="T16" s="110">
        <f>'Volume adjustments'!T275</f>
        <v>0</v>
      </c>
      <c r="U16" s="110">
        <f>'Volume adjustments'!U275</f>
        <v>0</v>
      </c>
      <c r="V16" s="110">
        <f>'Volume adjustments'!V275</f>
        <v>0</v>
      </c>
      <c r="W16" s="110">
        <f>'Volume adjustments'!W275</f>
        <v>0</v>
      </c>
      <c r="X16" s="110">
        <f>'Volume adjustments'!X275</f>
        <v>272.95468099853321</v>
      </c>
      <c r="Y16" s="110">
        <f>'Volume adjustments'!Y275</f>
        <v>0</v>
      </c>
    </row>
    <row r="17" spans="5:27" x14ac:dyDescent="0.25">
      <c r="E17" s="23" t="s">
        <v>549</v>
      </c>
      <c r="G17" s="23" t="s">
        <v>208</v>
      </c>
      <c r="J17" s="114">
        <f>'Volume adjustments'!J264</f>
        <v>5174558.0610480951</v>
      </c>
      <c r="K17" s="114">
        <f>'Volume adjustments'!K264</f>
        <v>29226.357169117226</v>
      </c>
      <c r="L17" s="114">
        <f>'Volume adjustments'!L264</f>
        <v>1819109.8660696223</v>
      </c>
      <c r="M17" s="114">
        <f>'Volume adjustments'!M264</f>
        <v>12347.199084923426</v>
      </c>
      <c r="N17" s="114">
        <f>'Volume adjustments'!N264</f>
        <v>1318638.7483002597</v>
      </c>
      <c r="O17" s="114">
        <f>'Volume adjustments'!O264</f>
        <v>658614.05959408253</v>
      </c>
      <c r="P17" s="114">
        <f>'Volume adjustments'!P264</f>
        <v>2228372.9156918265</v>
      </c>
      <c r="Q17" s="114">
        <f>'Volume adjustments'!Q264</f>
        <v>100800.08293841338</v>
      </c>
      <c r="R17" s="114">
        <f>'Volume adjustments'!R264</f>
        <v>7273.1738279259462</v>
      </c>
      <c r="S17" s="114">
        <f>'Volume adjustments'!S264</f>
        <v>0</v>
      </c>
      <c r="T17" s="114">
        <f>'Volume adjustments'!T264</f>
        <v>62641.673398829313</v>
      </c>
      <c r="U17" s="114">
        <f>'Volume adjustments'!U264</f>
        <v>0</v>
      </c>
      <c r="V17" s="114">
        <f>'Volume adjustments'!V264</f>
        <v>14960.225003718559</v>
      </c>
      <c r="W17" s="114">
        <f>'Volume adjustments'!W264</f>
        <v>0</v>
      </c>
      <c r="X17" s="114">
        <f>'Volume adjustments'!X264</f>
        <v>560129.43499738351</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262</v>
      </c>
      <c r="H21" s="164"/>
      <c r="I21" s="19"/>
      <c r="J21" s="114">
        <f>'Inputs by customer type'!J187</f>
        <v>253.94376042356078</v>
      </c>
      <c r="K21" s="114">
        <f>'Inputs by customer type'!K187</f>
        <v>0</v>
      </c>
      <c r="L21" s="114">
        <f>'Inputs by customer type'!L187</f>
        <v>744.59771283887403</v>
      </c>
      <c r="M21" s="114">
        <f>'Inputs by customer type'!M187</f>
        <v>0</v>
      </c>
      <c r="N21" s="114">
        <f>'Inputs by customer type'!N187</f>
        <v>1485.574945951194</v>
      </c>
      <c r="O21" s="114">
        <f>'Inputs by customer type'!O187</f>
        <v>1159.6508907892558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262</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10705.70643318938</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6700.0880416230875</v>
      </c>
      <c r="Y22" s="110">
        <f>'Inputs by customer type'!Y188</f>
        <v>6700.0880416230875</v>
      </c>
    </row>
    <row r="23" spans="5:27" x14ac:dyDescent="0.25">
      <c r="E23" s="78"/>
      <c r="F23" s="28" t="s">
        <v>552</v>
      </c>
      <c r="G23" s="28" t="s">
        <v>265</v>
      </c>
      <c r="H23" s="28"/>
      <c r="I23" s="28"/>
      <c r="J23" s="294"/>
      <c r="K23" s="294"/>
      <c r="L23" s="294"/>
      <c r="M23" s="294"/>
      <c r="N23" s="294"/>
      <c r="O23" s="294"/>
      <c r="P23" s="294"/>
      <c r="Q23" s="207">
        <f>'Inputs by customer type'!Q190</f>
        <v>287.06730475432011</v>
      </c>
      <c r="R23" s="294"/>
      <c r="S23" s="294"/>
      <c r="T23" s="294"/>
      <c r="U23" s="294"/>
      <c r="V23" s="294"/>
      <c r="W23" s="294"/>
      <c r="X23" s="294"/>
      <c r="Y23" s="294"/>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155</v>
      </c>
      <c r="J26" s="79"/>
      <c r="K26" s="79"/>
      <c r="L26" s="79"/>
      <c r="M26" s="79"/>
      <c r="N26" s="79"/>
      <c r="O26" s="79"/>
      <c r="P26" s="79"/>
      <c r="Q26" s="79"/>
      <c r="R26" s="79"/>
      <c r="S26" s="79"/>
      <c r="T26" s="79"/>
      <c r="U26" s="79"/>
      <c r="V26" s="79"/>
      <c r="W26" s="79"/>
      <c r="X26" s="79"/>
      <c r="Y26" s="79"/>
      <c r="AA26" t="s">
        <v>899</v>
      </c>
    </row>
    <row r="27" spans="5:27" x14ac:dyDescent="0.25">
      <c r="F27" s="19" t="s">
        <v>375</v>
      </c>
      <c r="G27" s="19" t="s">
        <v>278</v>
      </c>
      <c r="H27" s="119"/>
      <c r="I27" s="19"/>
      <c r="J27" s="116">
        <f t="shared" ref="J27:Y27" si="0">J21 * J$16</f>
        <v>389815991.07885879</v>
      </c>
      <c r="K27" s="116">
        <f t="shared" si="0"/>
        <v>0</v>
      </c>
      <c r="L27" s="116">
        <f t="shared" si="0"/>
        <v>109351730.80873789</v>
      </c>
      <c r="M27" s="116">
        <f t="shared" si="0"/>
        <v>0</v>
      </c>
      <c r="N27" s="116">
        <f t="shared" si="0"/>
        <v>12020925.898548858</v>
      </c>
      <c r="O27" s="116">
        <f t="shared" si="0"/>
        <v>2011532.0993411504</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278</v>
      </c>
      <c r="H28" s="53"/>
      <c r="J28" s="88">
        <f t="shared" ref="J28:Y28" si="1">J22 * J$16</f>
        <v>0</v>
      </c>
      <c r="K28" s="88">
        <f t="shared" si="1"/>
        <v>0</v>
      </c>
      <c r="L28" s="88">
        <f t="shared" si="1"/>
        <v>0</v>
      </c>
      <c r="M28" s="88">
        <f t="shared" si="1"/>
        <v>0</v>
      </c>
      <c r="N28" s="88">
        <f t="shared" si="1"/>
        <v>0</v>
      </c>
      <c r="O28" s="88">
        <f t="shared" si="1"/>
        <v>0</v>
      </c>
      <c r="P28" s="88">
        <f t="shared" si="1"/>
        <v>12071525.767299337</v>
      </c>
      <c r="Q28" s="88">
        <f t="shared" si="1"/>
        <v>0</v>
      </c>
      <c r="R28" s="88">
        <f t="shared" si="1"/>
        <v>0</v>
      </c>
      <c r="S28" s="88">
        <f t="shared" si="1"/>
        <v>0</v>
      </c>
      <c r="T28" s="88">
        <f t="shared" si="1"/>
        <v>0</v>
      </c>
      <c r="U28" s="88">
        <f t="shared" si="1"/>
        <v>0</v>
      </c>
      <c r="V28" s="88">
        <f t="shared" si="1"/>
        <v>0</v>
      </c>
      <c r="W28" s="88">
        <f t="shared" si="1"/>
        <v>0</v>
      </c>
      <c r="X28" s="88">
        <f t="shared" si="1"/>
        <v>1828820.394063317</v>
      </c>
      <c r="Y28" s="88">
        <f t="shared" si="1"/>
        <v>0</v>
      </c>
    </row>
    <row r="29" spans="5:27" x14ac:dyDescent="0.25">
      <c r="F29" s="28" t="s">
        <v>552</v>
      </c>
      <c r="G29" s="28" t="s">
        <v>278</v>
      </c>
      <c r="H29" s="120"/>
      <c r="I29" s="28"/>
      <c r="J29" s="294"/>
      <c r="K29" s="294"/>
      <c r="L29" s="294"/>
      <c r="M29" s="294"/>
      <c r="N29" s="294"/>
      <c r="O29" s="294"/>
      <c r="P29" s="294"/>
      <c r="Q29" s="143">
        <f t="shared" ref="Q29" si="2">Q23 * Q$17</f>
        <v>28936408.128142256</v>
      </c>
      <c r="R29" s="294"/>
      <c r="S29" s="294"/>
      <c r="T29" s="294"/>
      <c r="U29" s="294"/>
      <c r="V29" s="294"/>
      <c r="W29" s="294"/>
      <c r="X29" s="294"/>
      <c r="Y29" s="294"/>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278</v>
      </c>
      <c r="H33" s="91">
        <f>SUM(J33:Y33)</f>
        <v>542136588.01362896</v>
      </c>
      <c r="I33" s="19"/>
      <c r="J33" s="148">
        <f t="shared" ref="J33:Y33" si="3">J27 +J29</f>
        <v>389815991.07885879</v>
      </c>
      <c r="K33" s="148">
        <f t="shared" si="3"/>
        <v>0</v>
      </c>
      <c r="L33" s="148">
        <f t="shared" si="3"/>
        <v>109351730.80873789</v>
      </c>
      <c r="M33" s="148">
        <f t="shared" si="3"/>
        <v>0</v>
      </c>
      <c r="N33" s="148">
        <f t="shared" si="3"/>
        <v>12020925.898548858</v>
      </c>
      <c r="O33" s="148">
        <f t="shared" si="3"/>
        <v>2011532.0993411504</v>
      </c>
      <c r="P33" s="148">
        <f t="shared" si="3"/>
        <v>0</v>
      </c>
      <c r="Q33" s="148">
        <f t="shared" si="3"/>
        <v>28936408.128142256</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278</v>
      </c>
      <c r="H34" s="121">
        <f>SUM(J34:Y34)</f>
        <v>13900346.161362654</v>
      </c>
      <c r="I34" s="28"/>
      <c r="J34" s="157">
        <f t="shared" ref="J34:Y34" si="4">J28</f>
        <v>0</v>
      </c>
      <c r="K34" s="157">
        <f t="shared" si="4"/>
        <v>0</v>
      </c>
      <c r="L34" s="157">
        <f t="shared" si="4"/>
        <v>0</v>
      </c>
      <c r="M34" s="157">
        <f t="shared" si="4"/>
        <v>0</v>
      </c>
      <c r="N34" s="157">
        <f t="shared" si="4"/>
        <v>0</v>
      </c>
      <c r="O34" s="157">
        <f t="shared" si="4"/>
        <v>0</v>
      </c>
      <c r="P34" s="157">
        <f t="shared" si="4"/>
        <v>12071525.767299337</v>
      </c>
      <c r="Q34" s="157">
        <f t="shared" si="4"/>
        <v>0</v>
      </c>
      <c r="R34" s="157">
        <f t="shared" si="4"/>
        <v>0</v>
      </c>
      <c r="S34" s="157">
        <f t="shared" si="4"/>
        <v>0</v>
      </c>
      <c r="T34" s="157">
        <f t="shared" si="4"/>
        <v>0</v>
      </c>
      <c r="U34" s="157">
        <f t="shared" si="4"/>
        <v>0</v>
      </c>
      <c r="V34" s="157">
        <f t="shared" si="4"/>
        <v>0</v>
      </c>
      <c r="W34" s="157">
        <f t="shared" si="4"/>
        <v>0</v>
      </c>
      <c r="X34" s="157">
        <f t="shared" si="4"/>
        <v>1828820.394063317</v>
      </c>
      <c r="Y34" s="157">
        <f t="shared" si="4"/>
        <v>0</v>
      </c>
    </row>
    <row r="36" spans="2:43" x14ac:dyDescent="0.25">
      <c r="B36" s="25" t="s">
        <v>232</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233</v>
      </c>
      <c r="G38" s="6" t="s">
        <v>56</v>
      </c>
      <c r="H38" s="93">
        <f t="array" ref="H38">SUM(IF(ISERROR(H16:Y35), 1))</f>
        <v>0</v>
      </c>
    </row>
    <row r="40" spans="2:43" x14ac:dyDescent="0.25">
      <c r="B40" s="25" t="s">
        <v>107</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National Grid Electricity Distribution (South West) plc - [enter data version name]</v>
      </c>
    </row>
    <row r="3" spans="1:23" s="5" customFormat="1" x14ac:dyDescent="0.25">
      <c r="A3" s="5" t="str">
        <f>Cover!D2&amp;" - "&amp;Cover!D8&amp;" v"&amp;Cover!D10&amp;" - "&amp;Cover!D19</f>
        <v>CDCM charging model - Release for charge setting v9 - 2024/25</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83"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3"/>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155</v>
      </c>
      <c r="J21" s="3"/>
      <c r="K21" s="3"/>
      <c r="L21" s="3"/>
      <c r="M21" s="3"/>
      <c r="N21" s="3"/>
      <c r="O21" s="3"/>
      <c r="P21" s="3"/>
      <c r="Q21" s="3"/>
      <c r="R21" s="3"/>
      <c r="S21" s="3"/>
      <c r="T21" s="3"/>
      <c r="U21" s="3"/>
      <c r="W21" s="3" t="s">
        <v>166</v>
      </c>
    </row>
    <row r="22" spans="3:25" x14ac:dyDescent="0.25">
      <c r="D22" s="24"/>
    </row>
    <row r="23" spans="3:25" x14ac:dyDescent="0.25">
      <c r="D23" s="78"/>
      <c r="E23" s="23" t="s">
        <v>352</v>
      </c>
      <c r="G23" s="23" t="s">
        <v>168</v>
      </c>
      <c r="H23" s="106">
        <f>'General inputs'!H92</f>
        <v>3.2399999999999998E-2</v>
      </c>
      <c r="I23" s="3"/>
      <c r="J23" s="3"/>
      <c r="K23" s="3"/>
      <c r="L23" s="3"/>
      <c r="M23" s="3"/>
      <c r="N23" s="3"/>
      <c r="O23" s="3"/>
      <c r="P23" s="3"/>
      <c r="Q23" s="3"/>
      <c r="R23" s="3"/>
      <c r="S23" s="3"/>
      <c r="T23" s="3"/>
      <c r="U23" s="3"/>
    </row>
    <row r="24" spans="3:25" x14ac:dyDescent="0.25">
      <c r="D24" s="78"/>
      <c r="E24" s="23" t="s">
        <v>164</v>
      </c>
      <c r="G24" s="23" t="s">
        <v>165</v>
      </c>
      <c r="H24" s="42">
        <f>'Fixed inputs'!H35</f>
        <v>40</v>
      </c>
      <c r="I24" s="3"/>
      <c r="J24" s="3"/>
      <c r="K24" s="3"/>
      <c r="L24" s="3"/>
      <c r="M24" s="3"/>
      <c r="N24" s="3"/>
      <c r="O24" s="3"/>
      <c r="P24" s="3"/>
      <c r="Q24" s="3"/>
      <c r="R24" s="3"/>
      <c r="S24" s="3"/>
      <c r="T24" s="3"/>
      <c r="U24" s="3"/>
      <c r="W24" s="3"/>
    </row>
    <row r="25" spans="3:25" x14ac:dyDescent="0.25">
      <c r="E25" s="23" t="s">
        <v>567</v>
      </c>
      <c r="G25" s="23" t="s">
        <v>168</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v>
      </c>
      <c r="M31" s="110">
        <f>'Load &amp; loss characteristics'!M29</f>
        <v>1.004</v>
      </c>
      <c r="N31" s="110">
        <f>'Load &amp; loss characteristics'!N29</f>
        <v>1.01</v>
      </c>
      <c r="O31" s="110">
        <f>'Load &amp; loss characteristics'!O29</f>
        <v>1.014</v>
      </c>
      <c r="P31" s="110">
        <f>'Load &amp; loss characteristics'!P29</f>
        <v>1.014</v>
      </c>
      <c r="Q31" s="110">
        <f>'Load &amp; loss characteristics'!Q29</f>
        <v>1.0309999999999999</v>
      </c>
      <c r="R31" s="110">
        <f>'Load &amp; loss characteristics'!R29</f>
        <v>1.0429999999999999</v>
      </c>
      <c r="S31" s="110">
        <f>'Load &amp; loss characteristics'!S29</f>
        <v>1.0580000000000001</v>
      </c>
      <c r="T31" s="69"/>
      <c r="U31" s="69"/>
    </row>
    <row r="32" spans="3:25" x14ac:dyDescent="0.25">
      <c r="E32" t="s">
        <v>571</v>
      </c>
      <c r="F32" s="167"/>
      <c r="G32" s="23" t="s">
        <v>168</v>
      </c>
      <c r="H32" s="3"/>
      <c r="I32" s="3"/>
      <c r="J32" s="168"/>
      <c r="K32" s="169">
        <f>'Load &amp; loss characteristics'!$K$23</f>
        <v>2.200000000000002E-2</v>
      </c>
      <c r="L32" s="170"/>
      <c r="M32" s="170"/>
      <c r="N32" s="170"/>
      <c r="O32" s="170"/>
      <c r="P32" s="168"/>
      <c r="Q32" s="170"/>
      <c r="R32" s="170"/>
      <c r="S32" s="170"/>
      <c r="T32" s="168"/>
      <c r="U32" s="168"/>
      <c r="Y32" s="171"/>
    </row>
    <row r="33" spans="3:23" x14ac:dyDescent="0.25">
      <c r="E33" t="s">
        <v>572</v>
      </c>
      <c r="F33" s="109"/>
      <c r="G33" s="23" t="s">
        <v>168</v>
      </c>
      <c r="H33" s="3"/>
      <c r="I33" s="3"/>
      <c r="J33" s="60"/>
      <c r="K33" s="166">
        <f xml:space="preserve"> 1 / (1 + K32)</f>
        <v>0.97847358121330719</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172</v>
      </c>
      <c r="F39" s="109"/>
      <c r="G39" s="23" t="s">
        <v>173</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173</v>
      </c>
      <c r="H40" s="3"/>
      <c r="I40" s="3" t="s">
        <v>155</v>
      </c>
      <c r="J40" s="69"/>
      <c r="K40" s="172">
        <f t="shared" ref="K40:S40" si="0">$H$39 * $K$33 / K31</f>
        <v>489.23679060665359</v>
      </c>
      <c r="L40" s="172">
        <f t="shared" si="0"/>
        <v>489.23679060665359</v>
      </c>
      <c r="M40" s="172">
        <f t="shared" si="0"/>
        <v>487.28764004646769</v>
      </c>
      <c r="N40" s="172">
        <f t="shared" si="0"/>
        <v>484.3928619867857</v>
      </c>
      <c r="O40" s="172">
        <f t="shared" si="0"/>
        <v>482.48204201839604</v>
      </c>
      <c r="P40" s="172">
        <f t="shared" si="0"/>
        <v>482.48204201839604</v>
      </c>
      <c r="Q40" s="172">
        <f t="shared" si="0"/>
        <v>474.52647003555154</v>
      </c>
      <c r="R40" s="172">
        <f t="shared" si="0"/>
        <v>469.06691333332083</v>
      </c>
      <c r="S40" s="172">
        <f t="shared" si="0"/>
        <v>462.41662628228124</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282</v>
      </c>
      <c r="G46" s="23" t="s">
        <v>168</v>
      </c>
      <c r="H46" s="3"/>
      <c r="I46" s="3"/>
      <c r="J46" s="170"/>
      <c r="K46" s="170"/>
      <c r="L46" s="170"/>
      <c r="M46" s="170"/>
      <c r="N46" s="170"/>
      <c r="O46" s="170"/>
      <c r="P46" s="169">
        <f>'Inputs by network level'!P17</f>
        <v>0</v>
      </c>
      <c r="Q46" s="170"/>
      <c r="R46" s="170"/>
      <c r="S46" s="170"/>
      <c r="T46" s="170"/>
      <c r="U46" s="170"/>
      <c r="W46" s="3"/>
    </row>
    <row r="47" spans="3:23" x14ac:dyDescent="0.25">
      <c r="E47" s="23" t="s">
        <v>577</v>
      </c>
      <c r="G47" s="23" t="s">
        <v>168</v>
      </c>
      <c r="H47" s="3"/>
      <c r="I47" s="3"/>
      <c r="J47" s="170"/>
      <c r="K47" s="170"/>
      <c r="L47" s="170"/>
      <c r="M47" s="166">
        <f>IF(M46 = "", 1 - $P$46, M46)</f>
        <v>1</v>
      </c>
      <c r="N47" s="166">
        <f>IF(N46 = "", 1 - $P$46, N46)</f>
        <v>1</v>
      </c>
      <c r="O47" s="166">
        <f>IF(O46 = "", 1 - $P$46, O46)</f>
        <v>1</v>
      </c>
      <c r="P47" s="166">
        <f>IF(P46 = "", 1 - $P$46, P46)</f>
        <v>0</v>
      </c>
      <c r="Q47" s="170"/>
      <c r="R47" s="170"/>
      <c r="S47" s="170"/>
      <c r="T47" s="170"/>
      <c r="U47" s="170"/>
      <c r="W47" s="3"/>
    </row>
    <row r="48" spans="3:23" x14ac:dyDescent="0.25">
      <c r="E48" s="23" t="s">
        <v>578</v>
      </c>
      <c r="G48" s="23" t="s">
        <v>173</v>
      </c>
      <c r="H48" s="3"/>
      <c r="I48" s="3"/>
      <c r="J48" s="69"/>
      <c r="K48" s="88">
        <f t="shared" ref="K48:S48" si="1">IF(K47 = "", K40, K47 * K40)</f>
        <v>489.23679060665359</v>
      </c>
      <c r="L48" s="88">
        <f t="shared" si="1"/>
        <v>489.23679060665359</v>
      </c>
      <c r="M48" s="88">
        <f t="shared" si="1"/>
        <v>487.28764004646769</v>
      </c>
      <c r="N48" s="88">
        <f t="shared" si="1"/>
        <v>484.3928619867857</v>
      </c>
      <c r="O48" s="88">
        <f t="shared" si="1"/>
        <v>482.48204201839604</v>
      </c>
      <c r="P48" s="88">
        <f t="shared" si="1"/>
        <v>0</v>
      </c>
      <c r="Q48" s="88">
        <f t="shared" si="1"/>
        <v>474.52647003555154</v>
      </c>
      <c r="R48" s="88">
        <f t="shared" si="1"/>
        <v>469.06691333332083</v>
      </c>
      <c r="S48" s="88">
        <f t="shared" si="1"/>
        <v>462.41662628228124</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278</v>
      </c>
      <c r="H54" s="3"/>
      <c r="I54" s="3"/>
      <c r="J54" s="69"/>
      <c r="K54" s="69"/>
      <c r="L54" s="110">
        <f>'Inputs by network level'!L33</f>
        <v>121702179.09822515</v>
      </c>
      <c r="M54" s="110">
        <f>'Inputs by network level'!M33</f>
        <v>17432800.031287368</v>
      </c>
      <c r="N54" s="110">
        <f>'Inputs by network level'!N33</f>
        <v>55743832.248369023</v>
      </c>
      <c r="O54" s="110">
        <f>'Inputs by network level'!O33</f>
        <v>44091094.451562062</v>
      </c>
      <c r="P54" s="110">
        <f>'Inputs by network level'!P33</f>
        <v>0</v>
      </c>
      <c r="Q54" s="110">
        <f>'Inputs by network level'!Q33</f>
        <v>203039874.43379998</v>
      </c>
      <c r="R54" s="110">
        <f>'Inputs by network level'!R33</f>
        <v>83304219.055233777</v>
      </c>
      <c r="S54" s="110">
        <f>'Inputs by network level'!S33</f>
        <v>205578573.01158521</v>
      </c>
      <c r="T54" s="69"/>
      <c r="U54" s="69"/>
      <c r="W54" s="3"/>
    </row>
    <row r="55" spans="2:23" x14ac:dyDescent="0.25">
      <c r="E55" t="s">
        <v>581</v>
      </c>
      <c r="F55" s="167"/>
      <c r="G55" s="23" t="s">
        <v>582</v>
      </c>
      <c r="H55" s="3"/>
      <c r="I55" s="3"/>
      <c r="J55" s="69"/>
      <c r="K55" s="69"/>
      <c r="L55" s="88">
        <f t="shared" ref="L55:S55" si="2">IF(L48 = 0, 0, L54 / (L48 * thousand))</f>
        <v>248.75925407677221</v>
      </c>
      <c r="M55" s="88">
        <f t="shared" si="2"/>
        <v>35.775173837007188</v>
      </c>
      <c r="N55" s="88">
        <f t="shared" si="2"/>
        <v>115.07979704682296</v>
      </c>
      <c r="O55" s="88">
        <f t="shared" si="2"/>
        <v>91.383907817818766</v>
      </c>
      <c r="P55" s="88">
        <f t="shared" si="2"/>
        <v>0</v>
      </c>
      <c r="Q55" s="88">
        <f t="shared" si="2"/>
        <v>427.87892194631047</v>
      </c>
      <c r="R55" s="88">
        <f t="shared" si="2"/>
        <v>177.59559817010046</v>
      </c>
      <c r="S55" s="88">
        <f t="shared" si="2"/>
        <v>444.57435422334964</v>
      </c>
      <c r="T55" s="69"/>
      <c r="U55" s="69"/>
      <c r="W55" s="3"/>
    </row>
    <row r="56" spans="2:23" x14ac:dyDescent="0.25">
      <c r="E56" t="s">
        <v>583</v>
      </c>
      <c r="F56" s="167"/>
      <c r="G56" s="23" t="s">
        <v>584</v>
      </c>
      <c r="H56" s="3"/>
      <c r="I56" s="3" t="s">
        <v>155</v>
      </c>
      <c r="J56" s="69"/>
      <c r="K56" s="69"/>
      <c r="L56" s="88">
        <f t="shared" ref="L56:S56" si="3">L55 * $H$25</f>
        <v>11.183385892036013</v>
      </c>
      <c r="M56" s="88">
        <f t="shared" si="3"/>
        <v>1.608332425094211</v>
      </c>
      <c r="N56" s="88">
        <f t="shared" si="3"/>
        <v>5.1736036254338442</v>
      </c>
      <c r="O56" s="88">
        <f t="shared" si="3"/>
        <v>4.1083155247503251</v>
      </c>
      <c r="P56" s="88">
        <f t="shared" si="3"/>
        <v>0</v>
      </c>
      <c r="Q56" s="88">
        <f t="shared" si="3"/>
        <v>19.236008392745688</v>
      </c>
      <c r="R56" s="88">
        <f t="shared" si="3"/>
        <v>7.9841054132210934</v>
      </c>
      <c r="S56" s="88">
        <f t="shared" si="3"/>
        <v>19.986579311127922</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173</v>
      </c>
      <c r="J64" s="69"/>
      <c r="K64" s="110">
        <f t="array" ref="K64:S64">TRANSPOSE('System peak demand'!H269:H277)</f>
        <v>2184.6746030280228</v>
      </c>
      <c r="L64" s="110">
        <v>2169.1219279743395</v>
      </c>
      <c r="M64" s="110">
        <v>2160.480007942569</v>
      </c>
      <c r="N64" s="110">
        <v>2199.6790119632042</v>
      </c>
      <c r="O64" s="110">
        <v>2620.5010458799825</v>
      </c>
      <c r="P64" s="110">
        <v>0</v>
      </c>
      <c r="Q64" s="110">
        <v>2630.5088891525425</v>
      </c>
      <c r="R64" s="110">
        <v>2267.3244769766252</v>
      </c>
      <c r="S64" s="110">
        <v>1698.6907962876417</v>
      </c>
      <c r="T64" s="69"/>
      <c r="U64" s="69"/>
    </row>
    <row r="65" spans="3:24" x14ac:dyDescent="0.25">
      <c r="E65" s="23" t="s">
        <v>589</v>
      </c>
      <c r="F65" s="23"/>
      <c r="G65" s="23" t="s">
        <v>173</v>
      </c>
      <c r="H65" s="92"/>
      <c r="J65" s="88">
        <f>K64</f>
        <v>2184.6746030280228</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2184674.6030280227</v>
      </c>
      <c r="K67" s="88">
        <f t="shared" si="4"/>
        <v>2184674.6030280227</v>
      </c>
      <c r="L67" s="88">
        <f t="shared" si="4"/>
        <v>2169121.9279743396</v>
      </c>
      <c r="M67" s="88">
        <f t="shared" si="4"/>
        <v>2160480.007942569</v>
      </c>
      <c r="N67" s="88">
        <f t="shared" si="4"/>
        <v>2199679.011963204</v>
      </c>
      <c r="O67" s="88">
        <f t="shared" si="4"/>
        <v>2620501.0458799824</v>
      </c>
      <c r="P67" s="88">
        <f t="shared" si="4"/>
        <v>0</v>
      </c>
      <c r="Q67" s="88">
        <f t="shared" si="4"/>
        <v>2630508.8891525422</v>
      </c>
      <c r="R67" s="88">
        <f t="shared" si="4"/>
        <v>2267324.4769766252</v>
      </c>
      <c r="S67" s="88">
        <f t="shared" si="4"/>
        <v>1698690.7962876416</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278</v>
      </c>
      <c r="J73" s="69"/>
      <c r="K73" s="69"/>
      <c r="L73" s="88">
        <f t="shared" ref="L73:S73" si="5">L67 * L55</f>
        <v>539589152.80446672</v>
      </c>
      <c r="M73" s="88">
        <f t="shared" si="5"/>
        <v>77291547.855524078</v>
      </c>
      <c r="N73" s="88">
        <f t="shared" si="5"/>
        <v>253138614.26488158</v>
      </c>
      <c r="O73" s="88">
        <f t="shared" si="5"/>
        <v>239471626.01319396</v>
      </c>
      <c r="P73" s="88">
        <f t="shared" si="5"/>
        <v>0</v>
      </c>
      <c r="Q73" s="88">
        <f t="shared" si="5"/>
        <v>1125539307.6607764</v>
      </c>
      <c r="R73" s="88">
        <f t="shared" si="5"/>
        <v>402666846.73437393</v>
      </c>
      <c r="S73" s="88">
        <f t="shared" si="5"/>
        <v>755194363.7847259</v>
      </c>
      <c r="T73" s="69"/>
      <c r="U73" s="69"/>
      <c r="X73" s="53"/>
    </row>
    <row r="74" spans="3:24" x14ac:dyDescent="0.25">
      <c r="E74" s="23" t="s">
        <v>592</v>
      </c>
      <c r="F74" s="23"/>
      <c r="G74" s="23" t="s">
        <v>278</v>
      </c>
      <c r="J74" s="69"/>
      <c r="K74" s="69"/>
      <c r="L74" s="69"/>
      <c r="M74" s="69"/>
      <c r="N74" s="69"/>
      <c r="O74" s="69"/>
      <c r="P74" s="69"/>
      <c r="Q74" s="69"/>
      <c r="R74" s="69"/>
      <c r="S74" s="69"/>
      <c r="T74" s="110">
        <f>'Service model assets'!H33</f>
        <v>542136588.01362896</v>
      </c>
      <c r="U74" s="110">
        <f>'Service model assets'!H34</f>
        <v>13900346.161362654</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278</v>
      </c>
      <c r="I76" t="s">
        <v>155</v>
      </c>
      <c r="J76" s="69"/>
      <c r="K76" s="88">
        <f t="shared" ref="K76:U76" si="6">K73 + K74</f>
        <v>0</v>
      </c>
      <c r="L76" s="88">
        <f t="shared" si="6"/>
        <v>539589152.80446672</v>
      </c>
      <c r="M76" s="88">
        <f t="shared" si="6"/>
        <v>77291547.855524078</v>
      </c>
      <c r="N76" s="88">
        <f t="shared" si="6"/>
        <v>253138614.26488158</v>
      </c>
      <c r="O76" s="88">
        <f t="shared" si="6"/>
        <v>239471626.01319396</v>
      </c>
      <c r="P76" s="88">
        <f t="shared" si="6"/>
        <v>0</v>
      </c>
      <c r="Q76" s="88">
        <f t="shared" si="6"/>
        <v>1125539307.6607764</v>
      </c>
      <c r="R76" s="88">
        <f t="shared" si="6"/>
        <v>402666846.73437393</v>
      </c>
      <c r="S76" s="88">
        <f t="shared" si="6"/>
        <v>755194363.7847259</v>
      </c>
      <c r="T76" s="88">
        <f t="shared" si="6"/>
        <v>542136588.01362896</v>
      </c>
      <c r="U76" s="88">
        <f t="shared" si="6"/>
        <v>13900346.161362654</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168</v>
      </c>
      <c r="J78" s="170"/>
      <c r="K78" s="135">
        <f t="shared" ref="K78:U78" si="7">K76 / SUM($K$76:$U$76)</f>
        <v>0</v>
      </c>
      <c r="L78" s="135">
        <f t="shared" si="7"/>
        <v>0.13664191878508941</v>
      </c>
      <c r="M78" s="135">
        <f t="shared" si="7"/>
        <v>1.957279042760058E-2</v>
      </c>
      <c r="N78" s="135">
        <f t="shared" si="7"/>
        <v>6.4103115846523173E-2</v>
      </c>
      <c r="O78" s="135">
        <f t="shared" si="7"/>
        <v>6.0642179893645336E-2</v>
      </c>
      <c r="P78" s="135">
        <f t="shared" si="7"/>
        <v>0</v>
      </c>
      <c r="Q78" s="135">
        <f t="shared" si="7"/>
        <v>0.28502398513289096</v>
      </c>
      <c r="R78" s="135">
        <f t="shared" si="7"/>
        <v>0.10196863721770298</v>
      </c>
      <c r="S78" s="135">
        <f t="shared" si="7"/>
        <v>0.19124032865913379</v>
      </c>
      <c r="T78" s="135">
        <f t="shared" si="7"/>
        <v>0.13728701410094496</v>
      </c>
      <c r="U78" s="135">
        <f t="shared" si="7"/>
        <v>3.5200299364687711E-3</v>
      </c>
      <c r="X78" s="53"/>
    </row>
    <row r="79" spans="3:24" x14ac:dyDescent="0.25">
      <c r="E79" s="27"/>
      <c r="L79" s="53"/>
      <c r="M79" s="53"/>
      <c r="N79" s="53"/>
      <c r="O79" s="53"/>
      <c r="P79" s="53"/>
      <c r="Q79" s="53"/>
      <c r="R79" s="53"/>
      <c r="S79" s="53"/>
      <c r="T79" s="53"/>
      <c r="U79" s="53"/>
    </row>
    <row r="80" spans="3:24" x14ac:dyDescent="0.25">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170</v>
      </c>
      <c r="F84" s="23"/>
      <c r="G84" s="23" t="s">
        <v>168</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44444884.104686767</v>
      </c>
      <c r="L86" s="53"/>
      <c r="M86" s="53"/>
      <c r="N86" s="53"/>
      <c r="O86" s="53"/>
      <c r="P86" s="53"/>
      <c r="Q86" s="53"/>
      <c r="R86" s="53"/>
      <c r="S86" s="53"/>
      <c r="T86" s="53"/>
      <c r="U86" s="53"/>
    </row>
    <row r="87" spans="3:23" x14ac:dyDescent="0.25">
      <c r="E87" s="23" t="s">
        <v>360</v>
      </c>
      <c r="F87" s="23"/>
      <c r="G87" s="23" t="s">
        <v>356</v>
      </c>
      <c r="H87" s="110">
        <f>'General inputs'!H104</f>
        <v>149693784.37363404</v>
      </c>
      <c r="L87" s="53"/>
      <c r="M87" s="53"/>
      <c r="N87" s="53"/>
      <c r="O87" s="53"/>
      <c r="P87" s="53"/>
      <c r="Q87" s="53"/>
      <c r="R87" s="53"/>
      <c r="S87" s="53"/>
      <c r="T87" s="53"/>
      <c r="U87" s="53"/>
    </row>
    <row r="88" spans="3:23" x14ac:dyDescent="0.25">
      <c r="E88" s="23" t="s">
        <v>361</v>
      </c>
      <c r="F88" s="23"/>
      <c r="G88" s="23" t="s">
        <v>356</v>
      </c>
      <c r="H88" s="110">
        <f>'General inputs'!H105</f>
        <v>26566206.03750059</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160827360.76636776</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155</v>
      </c>
      <c r="J97" s="69"/>
      <c r="K97" s="88">
        <f t="shared" ref="K97:U97" si="8">K78 * $H$90</f>
        <v>0</v>
      </c>
      <c r="L97" s="88">
        <f t="shared" si="8"/>
        <v>21975759.168258298</v>
      </c>
      <c r="M97" s="88">
        <f t="shared" si="8"/>
        <v>3147840.2273042281</v>
      </c>
      <c r="N97" s="88">
        <f t="shared" si="8"/>
        <v>10309534.938497048</v>
      </c>
      <c r="O97" s="88">
        <f t="shared" si="8"/>
        <v>9752921.7434142716</v>
      </c>
      <c r="P97" s="88">
        <f t="shared" si="8"/>
        <v>0</v>
      </c>
      <c r="Q97" s="88">
        <f t="shared" si="8"/>
        <v>45839655.284035295</v>
      </c>
      <c r="R97" s="88">
        <f t="shared" si="8"/>
        <v>16399346.804666393</v>
      </c>
      <c r="S97" s="88">
        <f t="shared" si="8"/>
        <v>30756677.33034125</v>
      </c>
      <c r="T97" s="88">
        <f t="shared" si="8"/>
        <v>22079508.145350095</v>
      </c>
      <c r="U97" s="88">
        <f t="shared" si="8"/>
        <v>566117.12450087769</v>
      </c>
      <c r="W97" s="3" t="s">
        <v>601</v>
      </c>
    </row>
    <row r="98" spans="2:23" x14ac:dyDescent="0.25">
      <c r="E98" s="23" t="s">
        <v>355</v>
      </c>
      <c r="F98" s="23"/>
      <c r="G98" s="23" t="s">
        <v>356</v>
      </c>
      <c r="H98" s="53"/>
      <c r="I98" s="53"/>
      <c r="J98" s="110">
        <f>'General inputs'!$H$98</f>
        <v>7786074.9009868102</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155</v>
      </c>
      <c r="J100" s="88">
        <f t="shared" ref="J100:S100" si="9">IF(J$67 = 0, 0, SUM(J97:J98) / J$67)</f>
        <v>3.5639517620587906</v>
      </c>
      <c r="K100" s="88">
        <f t="shared" si="9"/>
        <v>0</v>
      </c>
      <c r="L100" s="88">
        <f t="shared" si="9"/>
        <v>10.131177452426856</v>
      </c>
      <c r="M100" s="88">
        <f t="shared" si="9"/>
        <v>1.4570096532862273</v>
      </c>
      <c r="N100" s="88">
        <f t="shared" si="9"/>
        <v>4.6868360712756143</v>
      </c>
      <c r="O100" s="88">
        <f t="shared" si="9"/>
        <v>3.7217774664688879</v>
      </c>
      <c r="P100" s="88">
        <f t="shared" si="9"/>
        <v>0</v>
      </c>
      <c r="Q100" s="88">
        <f t="shared" si="9"/>
        <v>17.426154868004733</v>
      </c>
      <c r="R100" s="88">
        <f t="shared" si="9"/>
        <v>7.2329068782136474</v>
      </c>
      <c r="S100" s="88">
        <f t="shared" si="9"/>
        <v>18.106107007559945</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278</v>
      </c>
      <c r="J108" s="69"/>
      <c r="K108" s="111">
        <f t="shared" ref="K108:U108" si="10">K76</f>
        <v>0</v>
      </c>
      <c r="L108" s="111">
        <f t="shared" si="10"/>
        <v>539589152.80446672</v>
      </c>
      <c r="M108" s="111">
        <f t="shared" si="10"/>
        <v>77291547.855524078</v>
      </c>
      <c r="N108" s="111">
        <f t="shared" si="10"/>
        <v>253138614.26488158</v>
      </c>
      <c r="O108" s="111">
        <f t="shared" si="10"/>
        <v>239471626.01319396</v>
      </c>
      <c r="P108" s="111">
        <f t="shared" si="10"/>
        <v>0</v>
      </c>
      <c r="Q108" s="111">
        <f t="shared" si="10"/>
        <v>1125539307.6607764</v>
      </c>
      <c r="R108" s="111">
        <f t="shared" si="10"/>
        <v>402666846.73437393</v>
      </c>
      <c r="S108" s="111">
        <f t="shared" si="10"/>
        <v>755194363.7847259</v>
      </c>
      <c r="T108" s="111">
        <f t="shared" si="10"/>
        <v>542136588.01362896</v>
      </c>
      <c r="U108" s="111">
        <f t="shared" si="10"/>
        <v>13900346.161362654</v>
      </c>
    </row>
    <row r="109" spans="2:23" x14ac:dyDescent="0.25">
      <c r="B109" s="24"/>
    </row>
    <row r="110" spans="2:23" x14ac:dyDescent="0.25">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11.183385892036013</v>
      </c>
      <c r="M114" s="111">
        <f t="shared" si="11"/>
        <v>1.608332425094211</v>
      </c>
      <c r="N114" s="111">
        <f t="shared" si="11"/>
        <v>5.1736036254338442</v>
      </c>
      <c r="O114" s="111">
        <f t="shared" si="11"/>
        <v>4.1083155247503251</v>
      </c>
      <c r="P114" s="111">
        <f t="shared" si="11"/>
        <v>0</v>
      </c>
      <c r="Q114" s="111">
        <f t="shared" si="11"/>
        <v>19.236008392745688</v>
      </c>
      <c r="R114" s="111">
        <f t="shared" si="11"/>
        <v>7.9841054132210934</v>
      </c>
      <c r="S114" s="111">
        <f t="shared" si="11"/>
        <v>19.986579311127922</v>
      </c>
      <c r="T114" s="69"/>
      <c r="U114" s="69"/>
    </row>
    <row r="115" spans="2:24" x14ac:dyDescent="0.25">
      <c r="B115" s="24"/>
      <c r="E115" t="s">
        <v>602</v>
      </c>
      <c r="F115" s="23"/>
      <c r="G115" s="23" t="s">
        <v>603</v>
      </c>
      <c r="J115" s="111">
        <f t="shared" ref="J115:S115" si="12">J100</f>
        <v>3.5639517620587906</v>
      </c>
      <c r="K115" s="111">
        <f t="shared" si="12"/>
        <v>0</v>
      </c>
      <c r="L115" s="111">
        <f t="shared" si="12"/>
        <v>10.131177452426856</v>
      </c>
      <c r="M115" s="111">
        <f t="shared" si="12"/>
        <v>1.4570096532862273</v>
      </c>
      <c r="N115" s="111">
        <f t="shared" si="12"/>
        <v>4.6868360712756143</v>
      </c>
      <c r="O115" s="111">
        <f t="shared" si="12"/>
        <v>3.7217774664688879</v>
      </c>
      <c r="P115" s="111">
        <f t="shared" si="12"/>
        <v>0</v>
      </c>
      <c r="Q115" s="111">
        <f t="shared" si="12"/>
        <v>17.426154868004733</v>
      </c>
      <c r="R115" s="111">
        <f t="shared" si="12"/>
        <v>7.2329068782136474</v>
      </c>
      <c r="S115" s="111">
        <f t="shared" si="12"/>
        <v>18.106107007559945</v>
      </c>
      <c r="T115" s="69"/>
      <c r="U115" s="69"/>
    </row>
    <row r="116" spans="2:24" x14ac:dyDescent="0.25">
      <c r="B116" s="24"/>
    </row>
    <row r="117" spans="2:24" x14ac:dyDescent="0.25">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168</v>
      </c>
      <c r="H121" s="176">
        <f>H25</f>
        <v>4.4956662752271281E-2</v>
      </c>
    </row>
    <row r="122" spans="2:24" x14ac:dyDescent="0.25">
      <c r="B122" s="24"/>
      <c r="C122" s="27"/>
      <c r="E122" t="s">
        <v>597</v>
      </c>
      <c r="F122" s="23"/>
      <c r="G122" s="23" t="s">
        <v>356</v>
      </c>
      <c r="H122" s="111">
        <f>H90</f>
        <v>160827360.76636776</v>
      </c>
    </row>
    <row r="123" spans="2:24" x14ac:dyDescent="0.25">
      <c r="E123" t="s">
        <v>593</v>
      </c>
      <c r="F123" s="23"/>
      <c r="G123" s="23" t="s">
        <v>278</v>
      </c>
      <c r="H123" s="111">
        <f>SUM(K76:U76)</f>
        <v>3948928393.2929344</v>
      </c>
      <c r="X123" s="53"/>
    </row>
    <row r="124" spans="2:24" x14ac:dyDescent="0.25">
      <c r="B124" s="24"/>
      <c r="C124" s="27"/>
    </row>
    <row r="125" spans="2:24" x14ac:dyDescent="0.25">
      <c r="B125" s="25" t="s">
        <v>232</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233</v>
      </c>
      <c r="G127" s="6" t="s">
        <v>56</v>
      </c>
      <c r="H127" s="177">
        <f t="array" ref="H127">SUM(IF(ISERROR(H23:U123), 1))</f>
        <v>0</v>
      </c>
    </row>
    <row r="129" spans="2:23" x14ac:dyDescent="0.25">
      <c r="E129" t="s">
        <v>609</v>
      </c>
      <c r="G129" s="6" t="s">
        <v>56</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240</v>
      </c>
      <c r="G131" s="6" t="s">
        <v>56</v>
      </c>
      <c r="H131" s="93">
        <f>H127 + H129</f>
        <v>0</v>
      </c>
    </row>
    <row r="133" spans="2:23" x14ac:dyDescent="0.25">
      <c r="B133" s="25" t="s">
        <v>107</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6" spans="1:27" x14ac:dyDescent="0.25">
      <c r="H6" s="3"/>
      <c r="I6" s="3"/>
      <c r="J6" s="3"/>
      <c r="K6" s="3"/>
      <c r="L6" s="3"/>
      <c r="M6" s="3"/>
      <c r="N6" s="3"/>
      <c r="P6" s="3"/>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155</v>
      </c>
      <c r="AA17" t="s">
        <v>614</v>
      </c>
    </row>
    <row r="18" spans="5:27" x14ac:dyDescent="0.25">
      <c r="F18" s="180" t="s">
        <v>190</v>
      </c>
      <c r="G18" s="54" t="s">
        <v>584</v>
      </c>
      <c r="H18" s="73"/>
    </row>
    <row r="19" spans="5:27" x14ac:dyDescent="0.25">
      <c r="F19" s="181" t="s">
        <v>192</v>
      </c>
      <c r="G19" s="23" t="s">
        <v>584</v>
      </c>
      <c r="H19" s="69"/>
    </row>
    <row r="20" spans="5:27" x14ac:dyDescent="0.25">
      <c r="F20" s="181" t="s">
        <v>193</v>
      </c>
      <c r="G20" s="23" t="s">
        <v>584</v>
      </c>
      <c r="H20" s="184">
        <f t="array" ref="H20:H27">TRANSPOSE('Unit costs'!L114:S114)</f>
        <v>11.183385892036013</v>
      </c>
    </row>
    <row r="21" spans="5:27" x14ac:dyDescent="0.25">
      <c r="F21" s="181" t="s">
        <v>194</v>
      </c>
      <c r="G21" s="23" t="s">
        <v>584</v>
      </c>
      <c r="H21" s="184">
        <v>1.608332425094211</v>
      </c>
    </row>
    <row r="22" spans="5:27" x14ac:dyDescent="0.25">
      <c r="F22" s="181" t="s">
        <v>195</v>
      </c>
      <c r="G22" s="23" t="s">
        <v>584</v>
      </c>
      <c r="H22" s="184">
        <v>5.1736036254338442</v>
      </c>
    </row>
    <row r="23" spans="5:27" x14ac:dyDescent="0.25">
      <c r="F23" s="181" t="s">
        <v>196</v>
      </c>
      <c r="G23" s="23" t="s">
        <v>584</v>
      </c>
      <c r="H23" s="184">
        <v>4.1083155247503251</v>
      </c>
    </row>
    <row r="24" spans="5:27" x14ac:dyDescent="0.25">
      <c r="F24" s="181" t="s">
        <v>197</v>
      </c>
      <c r="G24" s="23" t="s">
        <v>584</v>
      </c>
      <c r="H24" s="184">
        <v>0</v>
      </c>
    </row>
    <row r="25" spans="5:27" x14ac:dyDescent="0.25">
      <c r="F25" s="181" t="s">
        <v>198</v>
      </c>
      <c r="G25" s="23" t="s">
        <v>584</v>
      </c>
      <c r="H25" s="184">
        <v>19.236008392745688</v>
      </c>
    </row>
    <row r="26" spans="5:27" x14ac:dyDescent="0.25">
      <c r="F26" s="181" t="s">
        <v>199</v>
      </c>
      <c r="G26" s="23" t="s">
        <v>584</v>
      </c>
      <c r="H26" s="184">
        <v>7.9841054132210934</v>
      </c>
    </row>
    <row r="27" spans="5:27" x14ac:dyDescent="0.25">
      <c r="F27" s="182" t="s">
        <v>200</v>
      </c>
      <c r="G27" s="57" t="s">
        <v>584</v>
      </c>
      <c r="H27" s="185">
        <v>19.986579311127922</v>
      </c>
    </row>
    <row r="28" spans="5:27" x14ac:dyDescent="0.25">
      <c r="F28" s="181"/>
      <c r="G28" s="23"/>
      <c r="H28" s="110"/>
    </row>
    <row r="29" spans="5:27" x14ac:dyDescent="0.25">
      <c r="E29" s="27" t="s">
        <v>615</v>
      </c>
      <c r="G29" s="23"/>
      <c r="H29" s="79"/>
    </row>
    <row r="30" spans="5:27" x14ac:dyDescent="0.25">
      <c r="F30" s="180" t="s">
        <v>190</v>
      </c>
      <c r="G30" s="54" t="s">
        <v>603</v>
      </c>
      <c r="H30" s="183">
        <f t="array" ref="H30:H39">TRANSPOSE('Unit costs'!J115:S115)</f>
        <v>3.5639517620587906</v>
      </c>
    </row>
    <row r="31" spans="5:27" x14ac:dyDescent="0.25">
      <c r="F31" s="181" t="s">
        <v>192</v>
      </c>
      <c r="G31" s="23" t="s">
        <v>603</v>
      </c>
      <c r="H31" s="184">
        <v>0</v>
      </c>
    </row>
    <row r="32" spans="5:27" x14ac:dyDescent="0.25">
      <c r="F32" s="181" t="s">
        <v>193</v>
      </c>
      <c r="G32" s="23" t="s">
        <v>603</v>
      </c>
      <c r="H32" s="184">
        <v>10.131177452426856</v>
      </c>
    </row>
    <row r="33" spans="5:16" x14ac:dyDescent="0.25">
      <c r="F33" s="181" t="s">
        <v>194</v>
      </c>
      <c r="G33" s="23" t="s">
        <v>603</v>
      </c>
      <c r="H33" s="184">
        <v>1.4570096532862273</v>
      </c>
      <c r="J33" s="53"/>
      <c r="K33" s="53"/>
      <c r="L33" s="53"/>
      <c r="M33" s="53"/>
      <c r="N33" s="53"/>
    </row>
    <row r="34" spans="5:16" x14ac:dyDescent="0.25">
      <c r="F34" s="181" t="s">
        <v>195</v>
      </c>
      <c r="G34" s="23" t="s">
        <v>603</v>
      </c>
      <c r="H34" s="184">
        <v>4.6868360712756143</v>
      </c>
      <c r="J34" s="53"/>
      <c r="K34" s="53"/>
      <c r="L34" s="53"/>
      <c r="M34" s="53"/>
      <c r="N34" s="53"/>
    </row>
    <row r="35" spans="5:16" x14ac:dyDescent="0.25">
      <c r="F35" s="181" t="s">
        <v>196</v>
      </c>
      <c r="G35" s="23" t="s">
        <v>603</v>
      </c>
      <c r="H35" s="184">
        <v>3.7217774664688879</v>
      </c>
      <c r="J35" s="53"/>
      <c r="K35" s="53"/>
      <c r="L35" s="53"/>
      <c r="M35" s="53"/>
      <c r="N35" s="53"/>
    </row>
    <row r="36" spans="5:16" x14ac:dyDescent="0.25">
      <c r="F36" s="181" t="s">
        <v>197</v>
      </c>
      <c r="G36" s="23" t="s">
        <v>603</v>
      </c>
      <c r="H36" s="184">
        <v>0</v>
      </c>
      <c r="J36" s="53"/>
      <c r="K36" s="53"/>
      <c r="L36" s="53"/>
      <c r="M36" s="53"/>
      <c r="N36" s="53"/>
    </row>
    <row r="37" spans="5:16" x14ac:dyDescent="0.25">
      <c r="F37" s="181" t="s">
        <v>198</v>
      </c>
      <c r="G37" s="23" t="s">
        <v>603</v>
      </c>
      <c r="H37" s="184">
        <v>17.426154868004733</v>
      </c>
      <c r="J37" s="53"/>
      <c r="K37" s="53"/>
      <c r="L37" s="53"/>
      <c r="M37" s="53"/>
      <c r="N37" s="53"/>
      <c r="O37" s="53"/>
    </row>
    <row r="38" spans="5:16" x14ac:dyDescent="0.25">
      <c r="F38" s="181" t="s">
        <v>199</v>
      </c>
      <c r="G38" s="23" t="s">
        <v>603</v>
      </c>
      <c r="H38" s="184">
        <v>7.2329068782136474</v>
      </c>
      <c r="J38" s="53"/>
      <c r="K38" s="53"/>
      <c r="L38" s="53"/>
      <c r="M38" s="53"/>
      <c r="N38" s="53"/>
      <c r="O38" s="53"/>
    </row>
    <row r="39" spans="5:16" x14ac:dyDescent="0.25">
      <c r="F39" s="182" t="s">
        <v>200</v>
      </c>
      <c r="G39" s="57" t="s">
        <v>603</v>
      </c>
      <c r="H39" s="185">
        <v>18.106107007559945</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190</v>
      </c>
      <c r="G43" s="19" t="s">
        <v>284</v>
      </c>
      <c r="H43" s="114">
        <f t="array" ref="H43:H52">TRANSPOSE('Load &amp; loss characteristics'!J29:S29)</f>
        <v>1</v>
      </c>
      <c r="I43" s="3"/>
      <c r="J43" s="53"/>
      <c r="K43" s="53"/>
      <c r="L43" s="53"/>
      <c r="M43" s="53"/>
      <c r="N43" s="53"/>
      <c r="O43" s="53"/>
    </row>
    <row r="44" spans="5:16" x14ac:dyDescent="0.25">
      <c r="F44" t="s">
        <v>192</v>
      </c>
      <c r="G44" t="s">
        <v>284</v>
      </c>
      <c r="H44" s="110">
        <v>1</v>
      </c>
      <c r="I44" s="3"/>
      <c r="J44" s="53"/>
      <c r="K44" s="53"/>
      <c r="L44" s="53"/>
      <c r="M44" s="53"/>
      <c r="N44" s="53"/>
      <c r="O44" s="53"/>
    </row>
    <row r="45" spans="5:16" x14ac:dyDescent="0.25">
      <c r="F45" t="s">
        <v>193</v>
      </c>
      <c r="G45" t="s">
        <v>284</v>
      </c>
      <c r="H45" s="110">
        <v>1</v>
      </c>
      <c r="I45" s="3"/>
      <c r="J45" s="53"/>
      <c r="K45" s="53"/>
      <c r="L45" s="53"/>
      <c r="M45" s="53"/>
      <c r="N45" s="53"/>
      <c r="O45" s="53"/>
    </row>
    <row r="46" spans="5:16" x14ac:dyDescent="0.25">
      <c r="F46" t="s">
        <v>194</v>
      </c>
      <c r="G46" t="s">
        <v>284</v>
      </c>
      <c r="H46" s="110">
        <v>1.004</v>
      </c>
      <c r="J46" s="53"/>
      <c r="K46" s="53"/>
      <c r="L46" s="53"/>
      <c r="M46" s="53"/>
      <c r="N46" s="53"/>
      <c r="O46" s="53"/>
    </row>
    <row r="47" spans="5:16" x14ac:dyDescent="0.25">
      <c r="F47" t="s">
        <v>195</v>
      </c>
      <c r="G47" t="s">
        <v>284</v>
      </c>
      <c r="H47" s="110">
        <v>1.01</v>
      </c>
      <c r="I47" s="3"/>
      <c r="J47" s="53"/>
      <c r="K47" s="53"/>
      <c r="L47" s="53"/>
      <c r="M47" s="53"/>
      <c r="N47" s="53"/>
      <c r="O47" s="53"/>
    </row>
    <row r="48" spans="5:16" x14ac:dyDescent="0.25">
      <c r="F48" t="s">
        <v>196</v>
      </c>
      <c r="G48" t="s">
        <v>284</v>
      </c>
      <c r="H48" s="110">
        <v>1.014</v>
      </c>
      <c r="I48" s="3"/>
      <c r="J48" s="53"/>
      <c r="K48" s="53"/>
      <c r="L48" s="53"/>
      <c r="M48" s="53"/>
      <c r="N48" s="53"/>
      <c r="O48" s="53"/>
    </row>
    <row r="49" spans="4:25" x14ac:dyDescent="0.25">
      <c r="F49" t="s">
        <v>197</v>
      </c>
      <c r="G49" t="s">
        <v>284</v>
      </c>
      <c r="H49" s="110">
        <v>1.014</v>
      </c>
      <c r="I49" s="3"/>
      <c r="J49" s="53"/>
      <c r="K49" s="53"/>
      <c r="L49" s="53"/>
      <c r="M49" s="53"/>
      <c r="N49" s="53"/>
      <c r="O49" s="53"/>
    </row>
    <row r="50" spans="4:25" x14ac:dyDescent="0.25">
      <c r="F50" t="s">
        <v>198</v>
      </c>
      <c r="G50" t="s">
        <v>284</v>
      </c>
      <c r="H50" s="110">
        <v>1.0309999999999999</v>
      </c>
      <c r="J50" s="53"/>
      <c r="K50" s="53"/>
      <c r="L50" s="53"/>
      <c r="M50" s="53"/>
      <c r="N50" s="53"/>
      <c r="O50" s="53"/>
    </row>
    <row r="51" spans="4:25" x14ac:dyDescent="0.25">
      <c r="F51" t="s">
        <v>199</v>
      </c>
      <c r="G51" t="s">
        <v>284</v>
      </c>
      <c r="H51" s="110">
        <v>1.0429999999999999</v>
      </c>
      <c r="I51" s="3"/>
      <c r="J51" s="53"/>
      <c r="K51" s="53"/>
      <c r="L51" s="53"/>
      <c r="M51" s="53"/>
      <c r="N51" s="53"/>
      <c r="O51" s="53"/>
    </row>
    <row r="52" spans="4:25" x14ac:dyDescent="0.25">
      <c r="F52" s="28" t="s">
        <v>200</v>
      </c>
      <c r="G52" s="28" t="s">
        <v>284</v>
      </c>
      <c r="H52" s="115">
        <v>1.0580000000000001</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190</v>
      </c>
      <c r="G55" s="19" t="s">
        <v>284</v>
      </c>
      <c r="H55" s="19"/>
      <c r="I55" s="19"/>
      <c r="J55" s="183">
        <f t="array" ref="J55:Y64">TRANSPOSE('Load &amp; loss characteristics'!J145:S160)</f>
        <v>1.0580000000000001</v>
      </c>
      <c r="K55" s="183">
        <v>1.0580000000000001</v>
      </c>
      <c r="L55" s="183">
        <v>1.0580000000000001</v>
      </c>
      <c r="M55" s="183">
        <v>1.0580000000000001</v>
      </c>
      <c r="N55" s="183">
        <v>1.0580000000000001</v>
      </c>
      <c r="O55" s="183">
        <v>1.0429999999999999</v>
      </c>
      <c r="P55" s="183">
        <v>1.0309999999999999</v>
      </c>
      <c r="Q55" s="183">
        <v>1.0580000000000001</v>
      </c>
      <c r="R55" s="183">
        <v>-1.0580000000000001</v>
      </c>
      <c r="S55" s="183">
        <v>-1.0429999999999999</v>
      </c>
      <c r="T55" s="183">
        <v>-1.0580000000000001</v>
      </c>
      <c r="U55" s="183">
        <v>-1.0580000000000001</v>
      </c>
      <c r="V55" s="183">
        <v>-1.0429999999999999</v>
      </c>
      <c r="W55" s="183">
        <v>-1.0429999999999999</v>
      </c>
      <c r="X55" s="183">
        <v>-1.0309999999999999</v>
      </c>
      <c r="Y55" s="183">
        <v>-1.0309999999999999</v>
      </c>
    </row>
    <row r="56" spans="4:25" x14ac:dyDescent="0.25">
      <c r="D56" s="27"/>
      <c r="E56" s="27"/>
      <c r="F56" s="181" t="s">
        <v>192</v>
      </c>
      <c r="G56" t="s">
        <v>284</v>
      </c>
      <c r="J56" s="184">
        <v>1.0580000000000001</v>
      </c>
      <c r="K56" s="184">
        <v>1.0580000000000001</v>
      </c>
      <c r="L56" s="184">
        <v>1.0580000000000001</v>
      </c>
      <c r="M56" s="184">
        <v>1.0580000000000001</v>
      </c>
      <c r="N56" s="184">
        <v>1.0580000000000001</v>
      </c>
      <c r="O56" s="184">
        <v>1.0429999999999999</v>
      </c>
      <c r="P56" s="184">
        <v>1.0309999999999999</v>
      </c>
      <c r="Q56" s="184">
        <v>1.0580000000000001</v>
      </c>
      <c r="R56" s="184">
        <v>-1.0580000000000001</v>
      </c>
      <c r="S56" s="184">
        <v>-1.0429999999999999</v>
      </c>
      <c r="T56" s="184">
        <v>-1.0580000000000001</v>
      </c>
      <c r="U56" s="184">
        <v>-1.0580000000000001</v>
      </c>
      <c r="V56" s="184">
        <v>-1.0429999999999999</v>
      </c>
      <c r="W56" s="184">
        <v>-1.0429999999999999</v>
      </c>
      <c r="X56" s="184">
        <v>-1.0309999999999999</v>
      </c>
      <c r="Y56" s="184">
        <v>-1.0309999999999999</v>
      </c>
    </row>
    <row r="57" spans="4:25" x14ac:dyDescent="0.25">
      <c r="D57" s="27"/>
      <c r="E57" s="27"/>
      <c r="F57" s="181" t="s">
        <v>193</v>
      </c>
      <c r="G57" t="s">
        <v>284</v>
      </c>
      <c r="J57" s="184">
        <v>1.0580000000000001</v>
      </c>
      <c r="K57" s="184">
        <v>1.0580000000000001</v>
      </c>
      <c r="L57" s="184">
        <v>1.0580000000000001</v>
      </c>
      <c r="M57" s="184">
        <v>1.0580000000000001</v>
      </c>
      <c r="N57" s="184">
        <v>1.0580000000000001</v>
      </c>
      <c r="O57" s="184">
        <v>1.0429999999999999</v>
      </c>
      <c r="P57" s="184">
        <v>1.0309999999999999</v>
      </c>
      <c r="Q57" s="184">
        <v>1.0580000000000001</v>
      </c>
      <c r="R57" s="184">
        <v>-1.0580000000000001</v>
      </c>
      <c r="S57" s="184">
        <v>-1.0429999999999999</v>
      </c>
      <c r="T57" s="184">
        <v>-1.0580000000000001</v>
      </c>
      <c r="U57" s="184">
        <v>-1.0580000000000001</v>
      </c>
      <c r="V57" s="184">
        <v>-1.0429999999999999</v>
      </c>
      <c r="W57" s="184">
        <v>-1.0429999999999999</v>
      </c>
      <c r="X57" s="184">
        <v>-1.0309999999999999</v>
      </c>
      <c r="Y57" s="184">
        <v>-1.0309999999999999</v>
      </c>
    </row>
    <row r="58" spans="4:25" x14ac:dyDescent="0.25">
      <c r="D58" s="27"/>
      <c r="E58" s="27"/>
      <c r="F58" s="181" t="s">
        <v>194</v>
      </c>
      <c r="G58" t="s">
        <v>284</v>
      </c>
      <c r="J58" s="184">
        <v>1.0580000000000001</v>
      </c>
      <c r="K58" s="184">
        <v>1.0580000000000001</v>
      </c>
      <c r="L58" s="184">
        <v>1.0580000000000001</v>
      </c>
      <c r="M58" s="184">
        <v>1.0580000000000001</v>
      </c>
      <c r="N58" s="184">
        <v>1.0580000000000001</v>
      </c>
      <c r="O58" s="184">
        <v>1.0429999999999999</v>
      </c>
      <c r="P58" s="184">
        <v>1.0309999999999999</v>
      </c>
      <c r="Q58" s="184">
        <v>1.0580000000000001</v>
      </c>
      <c r="R58" s="184">
        <v>-1.0580000000000001</v>
      </c>
      <c r="S58" s="184">
        <v>-1.0429999999999999</v>
      </c>
      <c r="T58" s="184">
        <v>-1.0580000000000001</v>
      </c>
      <c r="U58" s="184">
        <v>-1.0580000000000001</v>
      </c>
      <c r="V58" s="184">
        <v>-1.0429999999999999</v>
      </c>
      <c r="W58" s="184">
        <v>-1.0429999999999999</v>
      </c>
      <c r="X58" s="184">
        <v>-1.0309999999999999</v>
      </c>
      <c r="Y58" s="184">
        <v>-1.0309999999999999</v>
      </c>
    </row>
    <row r="59" spans="4:25" x14ac:dyDescent="0.25">
      <c r="D59" s="27"/>
      <c r="E59" s="27"/>
      <c r="F59" s="181" t="s">
        <v>195</v>
      </c>
      <c r="G59" t="s">
        <v>284</v>
      </c>
      <c r="J59" s="184">
        <v>1.0580000000000001</v>
      </c>
      <c r="K59" s="184">
        <v>1.0580000000000001</v>
      </c>
      <c r="L59" s="184">
        <v>1.0580000000000001</v>
      </c>
      <c r="M59" s="184">
        <v>1.0580000000000001</v>
      </c>
      <c r="N59" s="184">
        <v>1.0580000000000001</v>
      </c>
      <c r="O59" s="184">
        <v>1.0429999999999999</v>
      </c>
      <c r="P59" s="184">
        <v>1.0309999999999999</v>
      </c>
      <c r="Q59" s="184">
        <v>1.0580000000000001</v>
      </c>
      <c r="R59" s="184">
        <v>-1.0580000000000001</v>
      </c>
      <c r="S59" s="184">
        <v>-1.0429999999999999</v>
      </c>
      <c r="T59" s="184">
        <v>-1.0580000000000001</v>
      </c>
      <c r="U59" s="184">
        <v>-1.0580000000000001</v>
      </c>
      <c r="V59" s="184">
        <v>-1.0429999999999999</v>
      </c>
      <c r="W59" s="184">
        <v>-1.0429999999999999</v>
      </c>
      <c r="X59" s="184">
        <v>-1.0309999999999999</v>
      </c>
      <c r="Y59" s="184">
        <v>-1.0309999999999999</v>
      </c>
    </row>
    <row r="60" spans="4:25" x14ac:dyDescent="0.25">
      <c r="D60" s="27"/>
      <c r="E60" s="27"/>
      <c r="F60" s="181" t="s">
        <v>196</v>
      </c>
      <c r="G60" t="s">
        <v>284</v>
      </c>
      <c r="J60" s="184">
        <v>1.0580000000000001</v>
      </c>
      <c r="K60" s="184">
        <v>1.0580000000000001</v>
      </c>
      <c r="L60" s="184">
        <v>1.0580000000000001</v>
      </c>
      <c r="M60" s="184">
        <v>1.0580000000000001</v>
      </c>
      <c r="N60" s="184">
        <v>1.0580000000000001</v>
      </c>
      <c r="O60" s="184">
        <v>1.0429999999999999</v>
      </c>
      <c r="P60" s="184">
        <v>1.0309999999999999</v>
      </c>
      <c r="Q60" s="184">
        <v>1.0580000000000001</v>
      </c>
      <c r="R60" s="184">
        <v>-1.0580000000000001</v>
      </c>
      <c r="S60" s="184">
        <v>-1.0429999999999999</v>
      </c>
      <c r="T60" s="184">
        <v>-1.0580000000000001</v>
      </c>
      <c r="U60" s="184">
        <v>-1.0580000000000001</v>
      </c>
      <c r="V60" s="184">
        <v>-1.0429999999999999</v>
      </c>
      <c r="W60" s="184">
        <v>-1.0429999999999999</v>
      </c>
      <c r="X60" s="184">
        <v>-1.0309999999999999</v>
      </c>
      <c r="Y60" s="184">
        <v>-1.0309999999999999</v>
      </c>
    </row>
    <row r="61" spans="4:25" x14ac:dyDescent="0.25">
      <c r="D61" s="27"/>
      <c r="E61" s="27"/>
      <c r="F61" s="181" t="s">
        <v>197</v>
      </c>
      <c r="G61" t="s">
        <v>284</v>
      </c>
      <c r="J61" s="184">
        <v>0</v>
      </c>
      <c r="K61" s="184">
        <v>0</v>
      </c>
      <c r="L61" s="184">
        <v>0</v>
      </c>
      <c r="M61" s="184">
        <v>0</v>
      </c>
      <c r="N61" s="184">
        <v>0</v>
      </c>
      <c r="O61" s="184">
        <v>0</v>
      </c>
      <c r="P61" s="184">
        <v>0</v>
      </c>
      <c r="Q61" s="184">
        <v>0</v>
      </c>
      <c r="R61" s="184">
        <v>0</v>
      </c>
      <c r="S61" s="184">
        <v>0</v>
      </c>
      <c r="T61" s="184">
        <v>0</v>
      </c>
      <c r="U61" s="184">
        <v>0</v>
      </c>
      <c r="V61" s="184">
        <v>0</v>
      </c>
      <c r="W61" s="184">
        <v>0</v>
      </c>
      <c r="X61" s="184">
        <v>0</v>
      </c>
      <c r="Y61" s="184">
        <v>0</v>
      </c>
    </row>
    <row r="62" spans="4:25" x14ac:dyDescent="0.25">
      <c r="D62" s="27"/>
      <c r="E62" s="27"/>
      <c r="F62" s="181" t="s">
        <v>198</v>
      </c>
      <c r="G62" t="s">
        <v>284</v>
      </c>
      <c r="J62" s="184">
        <v>1.0580000000000001</v>
      </c>
      <c r="K62" s="184">
        <v>1.0580000000000001</v>
      </c>
      <c r="L62" s="184">
        <v>1.0580000000000001</v>
      </c>
      <c r="M62" s="184">
        <v>1.0580000000000001</v>
      </c>
      <c r="N62" s="184">
        <v>1.0580000000000001</v>
      </c>
      <c r="O62" s="184">
        <v>1.0429999999999999</v>
      </c>
      <c r="P62" s="184">
        <v>1.0309999999999999</v>
      </c>
      <c r="Q62" s="184">
        <v>1.0580000000000001</v>
      </c>
      <c r="R62" s="184">
        <v>-1.0580000000000001</v>
      </c>
      <c r="S62" s="184">
        <v>-1.0429999999999999</v>
      </c>
      <c r="T62" s="184">
        <v>-1.0580000000000001</v>
      </c>
      <c r="U62" s="184">
        <v>-1.0580000000000001</v>
      </c>
      <c r="V62" s="184">
        <v>-1.0429999999999999</v>
      </c>
      <c r="W62" s="184">
        <v>-1.0429999999999999</v>
      </c>
      <c r="X62" s="184">
        <v>0</v>
      </c>
      <c r="Y62" s="184">
        <v>0</v>
      </c>
    </row>
    <row r="63" spans="4:25" x14ac:dyDescent="0.25">
      <c r="D63" s="27"/>
      <c r="E63" s="27"/>
      <c r="F63" s="181" t="s">
        <v>199</v>
      </c>
      <c r="G63" t="s">
        <v>284</v>
      </c>
      <c r="J63" s="184">
        <v>1.0580000000000001</v>
      </c>
      <c r="K63" s="184">
        <v>1.0580000000000001</v>
      </c>
      <c r="L63" s="184">
        <v>1.0580000000000001</v>
      </c>
      <c r="M63" s="184">
        <v>1.0580000000000001</v>
      </c>
      <c r="N63" s="184">
        <v>1.0580000000000001</v>
      </c>
      <c r="O63" s="184">
        <v>1.0429999999999999</v>
      </c>
      <c r="P63" s="184">
        <v>0</v>
      </c>
      <c r="Q63" s="184">
        <v>1.0580000000000001</v>
      </c>
      <c r="R63" s="184">
        <v>-1.0580000000000001</v>
      </c>
      <c r="S63" s="184">
        <v>0</v>
      </c>
      <c r="T63" s="184">
        <v>-1.0580000000000001</v>
      </c>
      <c r="U63" s="184">
        <v>-1.0580000000000001</v>
      </c>
      <c r="V63" s="184">
        <v>0</v>
      </c>
      <c r="W63" s="184">
        <v>0</v>
      </c>
      <c r="X63" s="184">
        <v>0</v>
      </c>
      <c r="Y63" s="184">
        <v>0</v>
      </c>
    </row>
    <row r="64" spans="4:25" x14ac:dyDescent="0.25">
      <c r="D64" s="27"/>
      <c r="E64" s="27"/>
      <c r="F64" s="182" t="s">
        <v>200</v>
      </c>
      <c r="G64" s="28" t="s">
        <v>284</v>
      </c>
      <c r="H64" s="28"/>
      <c r="I64" s="28"/>
      <c r="J64" s="185">
        <v>1.0580000000000001</v>
      </c>
      <c r="K64" s="185">
        <v>1.0580000000000001</v>
      </c>
      <c r="L64" s="185">
        <v>1.0580000000000001</v>
      </c>
      <c r="M64" s="185">
        <v>1.0580000000000001</v>
      </c>
      <c r="N64" s="185">
        <v>1.0580000000000001</v>
      </c>
      <c r="O64" s="185">
        <v>0</v>
      </c>
      <c r="P64" s="185">
        <v>0</v>
      </c>
      <c r="Q64" s="185">
        <v>1.0580000000000001</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190</v>
      </c>
      <c r="G67" s="54" t="s">
        <v>168</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192</v>
      </c>
      <c r="G68" s="23" t="s">
        <v>168</v>
      </c>
      <c r="J68" s="187"/>
      <c r="K68" s="187"/>
      <c r="L68" s="187"/>
      <c r="M68" s="187"/>
      <c r="N68" s="187"/>
      <c r="O68" s="187"/>
      <c r="P68" s="187"/>
      <c r="Q68" s="187"/>
      <c r="R68" s="187"/>
      <c r="S68" s="187"/>
      <c r="T68" s="187"/>
      <c r="U68" s="187"/>
      <c r="V68" s="187"/>
      <c r="W68" s="187"/>
      <c r="X68" s="187"/>
      <c r="Y68" s="187"/>
    </row>
    <row r="69" spans="3:25" x14ac:dyDescent="0.25">
      <c r="D69" s="27"/>
      <c r="E69" s="27"/>
      <c r="F69" s="181" t="s">
        <v>193</v>
      </c>
      <c r="G69" s="23" t="s">
        <v>168</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194</v>
      </c>
      <c r="G70" s="23" t="s">
        <v>168</v>
      </c>
      <c r="J70" s="184">
        <v>0</v>
      </c>
      <c r="K70" s="184">
        <v>0</v>
      </c>
      <c r="L70" s="184">
        <v>0</v>
      </c>
      <c r="M70" s="184">
        <v>0</v>
      </c>
      <c r="N70" s="184">
        <v>0</v>
      </c>
      <c r="O70" s="184">
        <v>0</v>
      </c>
      <c r="P70" s="184">
        <v>0.67</v>
      </c>
      <c r="Q70" s="184">
        <v>0</v>
      </c>
      <c r="R70" s="184">
        <v>0</v>
      </c>
      <c r="S70" s="184">
        <v>0</v>
      </c>
      <c r="T70" s="184">
        <v>0</v>
      </c>
      <c r="U70" s="184">
        <v>0</v>
      </c>
      <c r="V70" s="184">
        <v>0</v>
      </c>
      <c r="W70" s="184">
        <v>0</v>
      </c>
      <c r="X70" s="184">
        <v>0.67</v>
      </c>
      <c r="Y70" s="184">
        <v>0.67</v>
      </c>
    </row>
    <row r="71" spans="3:25" x14ac:dyDescent="0.25">
      <c r="D71" s="27"/>
      <c r="E71" s="27"/>
      <c r="F71" s="181" t="s">
        <v>195</v>
      </c>
      <c r="G71" s="23" t="s">
        <v>168</v>
      </c>
      <c r="J71" s="184">
        <v>0</v>
      </c>
      <c r="K71" s="184">
        <v>0</v>
      </c>
      <c r="L71" s="184">
        <v>0</v>
      </c>
      <c r="M71" s="184">
        <v>0</v>
      </c>
      <c r="N71" s="184">
        <v>0</v>
      </c>
      <c r="O71" s="184">
        <v>0</v>
      </c>
      <c r="P71" s="184">
        <v>0.67</v>
      </c>
      <c r="Q71" s="184">
        <v>0</v>
      </c>
      <c r="R71" s="184">
        <v>0</v>
      </c>
      <c r="S71" s="184">
        <v>0</v>
      </c>
      <c r="T71" s="184">
        <v>0</v>
      </c>
      <c r="U71" s="184">
        <v>0</v>
      </c>
      <c r="V71" s="184">
        <v>0</v>
      </c>
      <c r="W71" s="184">
        <v>0</v>
      </c>
      <c r="X71" s="184">
        <v>0.67</v>
      </c>
      <c r="Y71" s="184">
        <v>0.67</v>
      </c>
    </row>
    <row r="72" spans="3:25" x14ac:dyDescent="0.25">
      <c r="D72" s="27"/>
      <c r="E72" s="27"/>
      <c r="F72" s="181" t="s">
        <v>196</v>
      </c>
      <c r="G72" s="23" t="s">
        <v>168</v>
      </c>
      <c r="J72" s="184">
        <v>0.81</v>
      </c>
      <c r="K72" s="184">
        <v>0.81</v>
      </c>
      <c r="L72" s="184">
        <v>0.81</v>
      </c>
      <c r="M72" s="184">
        <v>0.81</v>
      </c>
      <c r="N72" s="184">
        <v>0.81</v>
      </c>
      <c r="O72" s="184">
        <v>0.81</v>
      </c>
      <c r="P72" s="184">
        <v>1</v>
      </c>
      <c r="Q72" s="184">
        <v>0.81</v>
      </c>
      <c r="R72" s="184">
        <v>0.81</v>
      </c>
      <c r="S72" s="184">
        <v>0.81</v>
      </c>
      <c r="T72" s="184">
        <v>0.81</v>
      </c>
      <c r="U72" s="184">
        <v>0.81</v>
      </c>
      <c r="V72" s="184">
        <v>0.81</v>
      </c>
      <c r="W72" s="184">
        <v>0.81</v>
      </c>
      <c r="X72" s="184">
        <v>1</v>
      </c>
      <c r="Y72" s="184">
        <v>1</v>
      </c>
    </row>
    <row r="73" spans="3:25" x14ac:dyDescent="0.25">
      <c r="D73" s="27"/>
      <c r="E73" s="27"/>
      <c r="F73" s="181" t="s">
        <v>197</v>
      </c>
      <c r="G73" s="23" t="s">
        <v>168</v>
      </c>
      <c r="J73" s="184">
        <v>0</v>
      </c>
      <c r="K73" s="184">
        <v>0</v>
      </c>
      <c r="L73" s="184">
        <v>0</v>
      </c>
      <c r="M73" s="184">
        <v>0</v>
      </c>
      <c r="N73" s="184">
        <v>0</v>
      </c>
      <c r="O73" s="184">
        <v>0</v>
      </c>
      <c r="P73" s="184">
        <v>0</v>
      </c>
      <c r="Q73" s="184">
        <v>0</v>
      </c>
      <c r="R73" s="184">
        <v>0</v>
      </c>
      <c r="S73" s="184">
        <v>0</v>
      </c>
      <c r="T73" s="184">
        <v>0</v>
      </c>
      <c r="U73" s="184">
        <v>0</v>
      </c>
      <c r="V73" s="184">
        <v>0</v>
      </c>
      <c r="W73" s="184">
        <v>0</v>
      </c>
      <c r="X73" s="184">
        <v>0</v>
      </c>
      <c r="Y73" s="184">
        <v>0</v>
      </c>
    </row>
    <row r="74" spans="3:25" x14ac:dyDescent="0.25">
      <c r="D74" s="27"/>
      <c r="E74" s="27"/>
      <c r="F74" s="181" t="s">
        <v>198</v>
      </c>
      <c r="G74" s="23" t="s">
        <v>168</v>
      </c>
      <c r="J74" s="184">
        <v>0.81</v>
      </c>
      <c r="K74" s="184">
        <v>0.81</v>
      </c>
      <c r="L74" s="184">
        <v>0.81</v>
      </c>
      <c r="M74" s="184">
        <v>0.81</v>
      </c>
      <c r="N74" s="184">
        <v>0.81</v>
      </c>
      <c r="O74" s="184">
        <v>0.81</v>
      </c>
      <c r="P74" s="184">
        <v>1</v>
      </c>
      <c r="Q74" s="184">
        <v>0.81</v>
      </c>
      <c r="R74" s="184">
        <v>0.81</v>
      </c>
      <c r="S74" s="184">
        <v>0.81</v>
      </c>
      <c r="T74" s="184">
        <v>0.81</v>
      </c>
      <c r="U74" s="184">
        <v>0.81</v>
      </c>
      <c r="V74" s="184">
        <v>0.81</v>
      </c>
      <c r="W74" s="184">
        <v>0.81</v>
      </c>
      <c r="X74" s="184">
        <v>1</v>
      </c>
      <c r="Y74" s="184">
        <v>1</v>
      </c>
    </row>
    <row r="75" spans="3:25" x14ac:dyDescent="0.25">
      <c r="D75" s="27"/>
      <c r="E75" s="27"/>
      <c r="F75" s="181" t="s">
        <v>199</v>
      </c>
      <c r="G75" s="23" t="s">
        <v>168</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200</v>
      </c>
      <c r="G76" s="57" t="s">
        <v>168</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284</v>
      </c>
      <c r="J78" s="184">
        <f>'Pseudo-load coefficients'!J267</f>
        <v>2.0135923630553552</v>
      </c>
      <c r="K78" s="184">
        <f>'Pseudo-load coefficients'!K267</f>
        <v>2.0135923630553552</v>
      </c>
      <c r="L78" s="184">
        <f>'Pseudo-load coefficients'!L267</f>
        <v>1.6514964196663435</v>
      </c>
      <c r="M78" s="184">
        <f>'Pseudo-load coefficients'!M267</f>
        <v>1.6514964196663435</v>
      </c>
      <c r="N78" s="184">
        <f>'Pseudo-load coefficients'!N267</f>
        <v>1.4133240824041486</v>
      </c>
      <c r="O78" s="184">
        <f>'Pseudo-load coefficients'!O267</f>
        <v>1.2856067709932435</v>
      </c>
      <c r="P78" s="184">
        <f>'Pseudo-load coefficients'!P267</f>
        <v>1.1272101030117991</v>
      </c>
      <c r="Q78" s="184">
        <f>'Pseudo-load coefficients'!Q267</f>
        <v>1.8724309843310629</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190</v>
      </c>
      <c r="G81" s="54" t="s">
        <v>284</v>
      </c>
      <c r="H81" s="19"/>
      <c r="I81" s="19"/>
      <c r="J81" s="403">
        <f>'Pseudo-load coefficients'!J272</f>
        <v>23.174181312798076</v>
      </c>
      <c r="K81" s="403">
        <f>'Pseudo-load coefficients'!K272</f>
        <v>23.174181312798076</v>
      </c>
      <c r="L81" s="403">
        <f>'Pseudo-load coefficients'!L272</f>
        <v>24.842749586009145</v>
      </c>
      <c r="M81" s="403">
        <f>'Pseudo-load coefficients'!M272</f>
        <v>24.842749586009145</v>
      </c>
      <c r="N81" s="403">
        <f>'Pseudo-load coefficients'!N272</f>
        <v>19.553224817591001</v>
      </c>
      <c r="O81" s="403">
        <f>'Pseudo-load coefficients'!O272</f>
        <v>18.958083929242086</v>
      </c>
      <c r="P81" s="403">
        <f>'Pseudo-load coefficients'!P272</f>
        <v>16.91427412021844</v>
      </c>
      <c r="Q81" s="403">
        <f>'Pseudo-load coefficients'!Q272</f>
        <v>56.426648751638652</v>
      </c>
      <c r="R81" s="403">
        <f>'Pseudo-load coefficients'!R272</f>
        <v>15.892024737261689</v>
      </c>
      <c r="S81" s="403">
        <f>'Pseudo-load coefficients'!S272</f>
        <v>15.892024737261689</v>
      </c>
      <c r="T81" s="403">
        <f>'Pseudo-load coefficients'!T272</f>
        <v>15.892024737261689</v>
      </c>
      <c r="U81" s="403">
        <f>'Pseudo-load coefficients'!U272</f>
        <v>15.892024737261689</v>
      </c>
      <c r="V81" s="403">
        <f>'Pseudo-load coefficients'!V272</f>
        <v>15.892024737261689</v>
      </c>
      <c r="W81" s="403">
        <f>'Pseudo-load coefficients'!W272</f>
        <v>15.892024737261689</v>
      </c>
      <c r="X81" s="403">
        <f>'Pseudo-load coefficients'!X272</f>
        <v>15.892024737261689</v>
      </c>
      <c r="Y81" s="403">
        <f>'Pseudo-load coefficients'!Y272</f>
        <v>15.892024737261689</v>
      </c>
    </row>
    <row r="82" spans="5:25" x14ac:dyDescent="0.25">
      <c r="E82" s="27"/>
      <c r="F82" s="181" t="s">
        <v>192</v>
      </c>
      <c r="G82" s="23" t="s">
        <v>284</v>
      </c>
      <c r="J82" s="184">
        <f>'Pseudo-load coefficients'!J272</f>
        <v>23.174181312798076</v>
      </c>
      <c r="K82" s="184">
        <f>'Pseudo-load coefficients'!K272</f>
        <v>23.174181312798076</v>
      </c>
      <c r="L82" s="184">
        <f>'Pseudo-load coefficients'!L272</f>
        <v>24.842749586009145</v>
      </c>
      <c r="M82" s="184">
        <f>'Pseudo-load coefficients'!M272</f>
        <v>24.842749586009145</v>
      </c>
      <c r="N82" s="184">
        <f>'Pseudo-load coefficients'!N272</f>
        <v>19.553224817591001</v>
      </c>
      <c r="O82" s="184">
        <f>'Pseudo-load coefficients'!O272</f>
        <v>18.958083929242086</v>
      </c>
      <c r="P82" s="184">
        <f>'Pseudo-load coefficients'!P272</f>
        <v>16.91427412021844</v>
      </c>
      <c r="Q82" s="184">
        <f>'Pseudo-load coefficients'!Q272</f>
        <v>56.426648751638652</v>
      </c>
      <c r="R82" s="184">
        <f>'Pseudo-load coefficients'!R272</f>
        <v>15.892024737261689</v>
      </c>
      <c r="S82" s="184">
        <f>'Pseudo-load coefficients'!S272</f>
        <v>15.892024737261689</v>
      </c>
      <c r="T82" s="184">
        <f>'Pseudo-load coefficients'!T272</f>
        <v>15.892024737261689</v>
      </c>
      <c r="U82" s="184">
        <f>'Pseudo-load coefficients'!U272</f>
        <v>15.892024737261689</v>
      </c>
      <c r="V82" s="184">
        <f>'Pseudo-load coefficients'!V272</f>
        <v>15.892024737261689</v>
      </c>
      <c r="W82" s="184">
        <f>'Pseudo-load coefficients'!W272</f>
        <v>15.892024737261689</v>
      </c>
      <c r="X82" s="184">
        <f>'Pseudo-load coefficients'!X272</f>
        <v>15.892024737261689</v>
      </c>
      <c r="Y82" s="184">
        <f>'Pseudo-load coefficients'!Y272</f>
        <v>15.892024737261689</v>
      </c>
    </row>
    <row r="83" spans="5:25" x14ac:dyDescent="0.25">
      <c r="E83" s="27"/>
      <c r="F83" s="181" t="s">
        <v>193</v>
      </c>
      <c r="G83" s="23" t="s">
        <v>284</v>
      </c>
      <c r="J83" s="184">
        <f>'Pseudo-load coefficients'!J273</f>
        <v>21.28464446610484</v>
      </c>
      <c r="K83" s="184">
        <f>'Pseudo-load coefficients'!K273</f>
        <v>21.28464446610484</v>
      </c>
      <c r="L83" s="184">
        <f>'Pseudo-load coefficients'!L273</f>
        <v>22.81716386704294</v>
      </c>
      <c r="M83" s="184">
        <f>'Pseudo-load coefficients'!M273</f>
        <v>22.81716386704294</v>
      </c>
      <c r="N83" s="184">
        <f>'Pseudo-load coefficients'!N273</f>
        <v>17.958927342059003</v>
      </c>
      <c r="O83" s="184">
        <f>'Pseudo-load coefficients'!O273</f>
        <v>17.412312035793455</v>
      </c>
      <c r="P83" s="184">
        <f>'Pseudo-load coefficients'!P273</f>
        <v>15.535146903000529</v>
      </c>
      <c r="Q83" s="184">
        <f>'Pseudo-load coefficients'!Q273</f>
        <v>48.298764420505449</v>
      </c>
      <c r="R83" s="184">
        <f>'Pseudo-load coefficients'!R273</f>
        <v>14.596247945654692</v>
      </c>
      <c r="S83" s="184">
        <f>'Pseudo-load coefficients'!S273</f>
        <v>14.596247945654692</v>
      </c>
      <c r="T83" s="184">
        <f>'Pseudo-load coefficients'!T273</f>
        <v>14.596247945654692</v>
      </c>
      <c r="U83" s="184">
        <f>'Pseudo-load coefficients'!U273</f>
        <v>14.596247945654692</v>
      </c>
      <c r="V83" s="184">
        <f>'Pseudo-load coefficients'!V273</f>
        <v>14.596247945654692</v>
      </c>
      <c r="W83" s="184">
        <f>'Pseudo-load coefficients'!W273</f>
        <v>14.596247945654692</v>
      </c>
      <c r="X83" s="184">
        <f>'Pseudo-load coefficients'!X273</f>
        <v>14.596247945654692</v>
      </c>
      <c r="Y83" s="184">
        <f>'Pseudo-load coefficients'!Y273</f>
        <v>14.596247945654692</v>
      </c>
    </row>
    <row r="84" spans="5:25" x14ac:dyDescent="0.25">
      <c r="E84" s="27"/>
      <c r="F84" s="181" t="s">
        <v>194</v>
      </c>
      <c r="G84" s="23" t="s">
        <v>284</v>
      </c>
      <c r="J84" s="184">
        <f>'Pseudo-load coefficients'!J274</f>
        <v>21.28464446610484</v>
      </c>
      <c r="K84" s="184">
        <f>'Pseudo-load coefficients'!K274</f>
        <v>21.28464446610484</v>
      </c>
      <c r="L84" s="184">
        <f>'Pseudo-load coefficients'!L274</f>
        <v>22.81716386704294</v>
      </c>
      <c r="M84" s="184">
        <f>'Pseudo-load coefficients'!M274</f>
        <v>22.81716386704294</v>
      </c>
      <c r="N84" s="184">
        <f>'Pseudo-load coefficients'!N274</f>
        <v>17.958927342059003</v>
      </c>
      <c r="O84" s="184">
        <f>'Pseudo-load coefficients'!O274</f>
        <v>17.412312035793455</v>
      </c>
      <c r="P84" s="184">
        <f>'Pseudo-load coefficients'!P274</f>
        <v>15.535146903000529</v>
      </c>
      <c r="Q84" s="184">
        <f>'Pseudo-load coefficients'!Q274</f>
        <v>48.298764420505449</v>
      </c>
      <c r="R84" s="184">
        <f>'Pseudo-load coefficients'!R274</f>
        <v>14.596247945654692</v>
      </c>
      <c r="S84" s="184">
        <f>'Pseudo-load coefficients'!S274</f>
        <v>14.596247945654692</v>
      </c>
      <c r="T84" s="184">
        <f>'Pseudo-load coefficients'!T274</f>
        <v>14.596247945654692</v>
      </c>
      <c r="U84" s="184">
        <f>'Pseudo-load coefficients'!U274</f>
        <v>14.596247945654692</v>
      </c>
      <c r="V84" s="184">
        <f>'Pseudo-load coefficients'!V274</f>
        <v>14.596247945654692</v>
      </c>
      <c r="W84" s="184">
        <f>'Pseudo-load coefficients'!W274</f>
        <v>14.596247945654692</v>
      </c>
      <c r="X84" s="184">
        <f>'Pseudo-load coefficients'!X274</f>
        <v>14.596247945654692</v>
      </c>
      <c r="Y84" s="184">
        <f>'Pseudo-load coefficients'!Y274</f>
        <v>14.596247945654692</v>
      </c>
    </row>
    <row r="85" spans="5:25" x14ac:dyDescent="0.25">
      <c r="E85" s="27"/>
      <c r="F85" s="181" t="s">
        <v>195</v>
      </c>
      <c r="G85" s="23" t="s">
        <v>284</v>
      </c>
      <c r="J85" s="184">
        <f>'Pseudo-load coefficients'!J275</f>
        <v>15.59265842543903</v>
      </c>
      <c r="K85" s="184">
        <f>'Pseudo-load coefficients'!K275</f>
        <v>15.59265842543903</v>
      </c>
      <c r="L85" s="184">
        <f>'Pseudo-load coefficients'!L275</f>
        <v>16.715348146060858</v>
      </c>
      <c r="M85" s="184">
        <f>'Pseudo-load coefficients'!M275</f>
        <v>16.715348146060858</v>
      </c>
      <c r="N85" s="184">
        <f>'Pseudo-load coefficients'!N275</f>
        <v>13.156311827427466</v>
      </c>
      <c r="O85" s="184">
        <f>'Pseudo-load coefficients'!O275</f>
        <v>12.755873578421786</v>
      </c>
      <c r="P85" s="184">
        <f>'Pseudo-load coefficients'!P275</f>
        <v>11.380704039160955</v>
      </c>
      <c r="Q85" s="184">
        <f>'Pseudo-load coefficients'!Q275</f>
        <v>33.136065754960512</v>
      </c>
      <c r="R85" s="184">
        <f>'Pseudo-load coefficients'!R275</f>
        <v>10.692887488538833</v>
      </c>
      <c r="S85" s="184">
        <f>'Pseudo-load coefficients'!S275</f>
        <v>10.692887488538833</v>
      </c>
      <c r="T85" s="184">
        <f>'Pseudo-load coefficients'!T275</f>
        <v>10.692887488538833</v>
      </c>
      <c r="U85" s="184">
        <f>'Pseudo-load coefficients'!U275</f>
        <v>10.692887488538833</v>
      </c>
      <c r="V85" s="184">
        <f>'Pseudo-load coefficients'!V275</f>
        <v>10.692887488538833</v>
      </c>
      <c r="W85" s="184">
        <f>'Pseudo-load coefficients'!W275</f>
        <v>10.692887488538833</v>
      </c>
      <c r="X85" s="184">
        <f>'Pseudo-load coefficients'!X275</f>
        <v>10.692887488538833</v>
      </c>
      <c r="Y85" s="184">
        <f>'Pseudo-load coefficients'!Y275</f>
        <v>10.692887488538833</v>
      </c>
    </row>
    <row r="86" spans="5:25" x14ac:dyDescent="0.25">
      <c r="E86" s="27"/>
      <c r="F86" s="181" t="s">
        <v>196</v>
      </c>
      <c r="G86" s="23" t="s">
        <v>284</v>
      </c>
      <c r="J86" s="184">
        <f>'Pseudo-load coefficients'!J276</f>
        <v>15.59265842543903</v>
      </c>
      <c r="K86" s="184">
        <f>'Pseudo-load coefficients'!K276</f>
        <v>15.59265842543903</v>
      </c>
      <c r="L86" s="184">
        <f>'Pseudo-load coefficients'!L276</f>
        <v>16.715348146060858</v>
      </c>
      <c r="M86" s="184">
        <f>'Pseudo-load coefficients'!M276</f>
        <v>16.715348146060858</v>
      </c>
      <c r="N86" s="184">
        <f>'Pseudo-load coefficients'!N276</f>
        <v>13.156311827427466</v>
      </c>
      <c r="O86" s="184">
        <f>'Pseudo-load coefficients'!O276</f>
        <v>12.755873578421786</v>
      </c>
      <c r="P86" s="184">
        <f>'Pseudo-load coefficients'!P276</f>
        <v>11.380704039160955</v>
      </c>
      <c r="Q86" s="184">
        <f>'Pseudo-load coefficients'!Q276</f>
        <v>33.136065754960512</v>
      </c>
      <c r="R86" s="184">
        <f>'Pseudo-load coefficients'!R276</f>
        <v>10.692887488538833</v>
      </c>
      <c r="S86" s="184">
        <f>'Pseudo-load coefficients'!S276</f>
        <v>10.692887488538833</v>
      </c>
      <c r="T86" s="184">
        <f>'Pseudo-load coefficients'!T276</f>
        <v>10.692887488538833</v>
      </c>
      <c r="U86" s="184">
        <f>'Pseudo-load coefficients'!U276</f>
        <v>10.692887488538833</v>
      </c>
      <c r="V86" s="184">
        <f>'Pseudo-load coefficients'!V276</f>
        <v>10.692887488538833</v>
      </c>
      <c r="W86" s="184">
        <f>'Pseudo-load coefficients'!W276</f>
        <v>10.692887488538833</v>
      </c>
      <c r="X86" s="184">
        <f>'Pseudo-load coefficients'!X276</f>
        <v>10.692887488538833</v>
      </c>
      <c r="Y86" s="184">
        <f>'Pseudo-load coefficients'!Y276</f>
        <v>10.692887488538833</v>
      </c>
    </row>
    <row r="87" spans="5:25" x14ac:dyDescent="0.25">
      <c r="E87" s="27"/>
      <c r="F87" s="181" t="s">
        <v>197</v>
      </c>
      <c r="G87" s="23" t="s">
        <v>284</v>
      </c>
      <c r="J87" s="184">
        <f>'Pseudo-load coefficients'!J277</f>
        <v>21.28464446610484</v>
      </c>
      <c r="K87" s="184">
        <f>'Pseudo-load coefficients'!K277</f>
        <v>21.28464446610484</v>
      </c>
      <c r="L87" s="184">
        <f>'Pseudo-load coefficients'!L277</f>
        <v>22.81716386704294</v>
      </c>
      <c r="M87" s="184">
        <f>'Pseudo-load coefficients'!M277</f>
        <v>22.81716386704294</v>
      </c>
      <c r="N87" s="184">
        <f>'Pseudo-load coefficients'!N277</f>
        <v>17.958927342059003</v>
      </c>
      <c r="O87" s="184">
        <f>'Pseudo-load coefficients'!O277</f>
        <v>17.412312035793455</v>
      </c>
      <c r="P87" s="184">
        <f>'Pseudo-load coefficients'!P277</f>
        <v>15.535146903000529</v>
      </c>
      <c r="Q87" s="184">
        <f>'Pseudo-load coefficients'!Q277</f>
        <v>48.298764420505449</v>
      </c>
      <c r="R87" s="184">
        <f>'Pseudo-load coefficients'!R277</f>
        <v>14.596247945654692</v>
      </c>
      <c r="S87" s="184">
        <f>'Pseudo-load coefficients'!S277</f>
        <v>14.596247945654692</v>
      </c>
      <c r="T87" s="184">
        <f>'Pseudo-load coefficients'!T277</f>
        <v>14.596247945654692</v>
      </c>
      <c r="U87" s="184">
        <f>'Pseudo-load coefficients'!U277</f>
        <v>14.596247945654692</v>
      </c>
      <c r="V87" s="184">
        <f>'Pseudo-load coefficients'!V277</f>
        <v>14.596247945654692</v>
      </c>
      <c r="W87" s="184">
        <f>'Pseudo-load coefficients'!W277</f>
        <v>14.596247945654692</v>
      </c>
      <c r="X87" s="184">
        <f>'Pseudo-load coefficients'!X277</f>
        <v>14.596247945654692</v>
      </c>
      <c r="Y87" s="184">
        <f>'Pseudo-load coefficients'!Y277</f>
        <v>14.596247945654692</v>
      </c>
    </row>
    <row r="88" spans="5:25" x14ac:dyDescent="0.25">
      <c r="E88" s="27"/>
      <c r="F88" s="181" t="s">
        <v>198</v>
      </c>
      <c r="G88" s="23" t="s">
        <v>284</v>
      </c>
      <c r="J88" s="184">
        <f>'Pseudo-load coefficients'!J278</f>
        <v>15.59265842543903</v>
      </c>
      <c r="K88" s="184">
        <f>'Pseudo-load coefficients'!K278</f>
        <v>15.59265842543903</v>
      </c>
      <c r="L88" s="184">
        <f>'Pseudo-load coefficients'!L278</f>
        <v>16.715348146060858</v>
      </c>
      <c r="M88" s="184">
        <f>'Pseudo-load coefficients'!M278</f>
        <v>16.715348146060858</v>
      </c>
      <c r="N88" s="184">
        <f>'Pseudo-load coefficients'!N278</f>
        <v>13.156311827427466</v>
      </c>
      <c r="O88" s="184">
        <f>'Pseudo-load coefficients'!O278</f>
        <v>12.755873578421786</v>
      </c>
      <c r="P88" s="184">
        <f>'Pseudo-load coefficients'!P278</f>
        <v>11.380704039160955</v>
      </c>
      <c r="Q88" s="184">
        <f>'Pseudo-load coefficients'!Q278</f>
        <v>33.136065754960512</v>
      </c>
      <c r="R88" s="184">
        <f>'Pseudo-load coefficients'!R278</f>
        <v>10.692887488538833</v>
      </c>
      <c r="S88" s="184">
        <f>'Pseudo-load coefficients'!S278</f>
        <v>10.692887488538833</v>
      </c>
      <c r="T88" s="184">
        <f>'Pseudo-load coefficients'!T278</f>
        <v>10.692887488538833</v>
      </c>
      <c r="U88" s="184">
        <f>'Pseudo-load coefficients'!U278</f>
        <v>10.692887488538833</v>
      </c>
      <c r="V88" s="184">
        <f>'Pseudo-load coefficients'!V278</f>
        <v>10.692887488538833</v>
      </c>
      <c r="W88" s="184">
        <f>'Pseudo-load coefficients'!W278</f>
        <v>10.692887488538833</v>
      </c>
      <c r="X88" s="184">
        <f>'Pseudo-load coefficients'!X278</f>
        <v>10.692887488538833</v>
      </c>
      <c r="Y88" s="184">
        <f>'Pseudo-load coefficients'!Y278</f>
        <v>10.692887488538833</v>
      </c>
    </row>
    <row r="89" spans="5:25" x14ac:dyDescent="0.25">
      <c r="E89" s="27"/>
      <c r="F89" s="181" t="s">
        <v>199</v>
      </c>
      <c r="G89" s="23" t="s">
        <v>284</v>
      </c>
      <c r="J89" s="184">
        <f>'Pseudo-load coefficients'!J279</f>
        <v>15.59265842543903</v>
      </c>
      <c r="K89" s="184">
        <f>'Pseudo-load coefficients'!K279</f>
        <v>15.59265842543903</v>
      </c>
      <c r="L89" s="184">
        <f>'Pseudo-load coefficients'!L279</f>
        <v>16.715348146060858</v>
      </c>
      <c r="M89" s="184">
        <f>'Pseudo-load coefficients'!M279</f>
        <v>16.715348146060858</v>
      </c>
      <c r="N89" s="184">
        <f>'Pseudo-load coefficients'!N279</f>
        <v>13.156311827427466</v>
      </c>
      <c r="O89" s="184">
        <f>'Pseudo-load coefficients'!O279</f>
        <v>12.755873578421786</v>
      </c>
      <c r="P89" s="184">
        <f>'Pseudo-load coefficients'!P279</f>
        <v>11.380704039160955</v>
      </c>
      <c r="Q89" s="184">
        <f>'Pseudo-load coefficients'!Q279</f>
        <v>33.136065754960512</v>
      </c>
      <c r="R89" s="184">
        <f>'Pseudo-load coefficients'!R279</f>
        <v>10.692887488538833</v>
      </c>
      <c r="S89" s="184">
        <f>'Pseudo-load coefficients'!S279</f>
        <v>10.692887488538833</v>
      </c>
      <c r="T89" s="184">
        <f>'Pseudo-load coefficients'!T279</f>
        <v>10.692887488538833</v>
      </c>
      <c r="U89" s="184">
        <f>'Pseudo-load coefficients'!U279</f>
        <v>10.692887488538833</v>
      </c>
      <c r="V89" s="184">
        <f>'Pseudo-load coefficients'!V279</f>
        <v>10.692887488538833</v>
      </c>
      <c r="W89" s="184">
        <f>'Pseudo-load coefficients'!W279</f>
        <v>10.692887488538833</v>
      </c>
      <c r="X89" s="184">
        <f>'Pseudo-load coefficients'!X279</f>
        <v>10.692887488538833</v>
      </c>
      <c r="Y89" s="184">
        <f>'Pseudo-load coefficients'!Y279</f>
        <v>10.692887488538833</v>
      </c>
    </row>
    <row r="90" spans="5:25" x14ac:dyDescent="0.25">
      <c r="E90" s="27"/>
      <c r="F90" s="182" t="s">
        <v>200</v>
      </c>
      <c r="G90" s="57" t="s">
        <v>284</v>
      </c>
      <c r="H90" s="28"/>
      <c r="I90" s="28"/>
      <c r="J90" s="185">
        <f>'Pseudo-load coefficients'!J280</f>
        <v>15.59265842543903</v>
      </c>
      <c r="K90" s="185">
        <f>'Pseudo-load coefficients'!K280</f>
        <v>15.59265842543903</v>
      </c>
      <c r="L90" s="185">
        <f>'Pseudo-load coefficients'!L280</f>
        <v>16.715348146060858</v>
      </c>
      <c r="M90" s="185">
        <f>'Pseudo-load coefficients'!M280</f>
        <v>16.715348146060858</v>
      </c>
      <c r="N90" s="185">
        <f>'Pseudo-load coefficients'!N280</f>
        <v>13.156311827427466</v>
      </c>
      <c r="O90" s="185">
        <f>'Pseudo-load coefficients'!O280</f>
        <v>12.755873578421786</v>
      </c>
      <c r="P90" s="185">
        <f>'Pseudo-load coefficients'!P280</f>
        <v>11.380704039160955</v>
      </c>
      <c r="Q90" s="185">
        <f>'Pseudo-load coefficients'!Q280</f>
        <v>33.136065754960512</v>
      </c>
      <c r="R90" s="185">
        <f>'Pseudo-load coefficients'!R280</f>
        <v>10.692887488538833</v>
      </c>
      <c r="S90" s="185">
        <f>'Pseudo-load coefficients'!S280</f>
        <v>10.692887488538833</v>
      </c>
      <c r="T90" s="185">
        <f>'Pseudo-load coefficients'!T280</f>
        <v>10.692887488538833</v>
      </c>
      <c r="U90" s="185">
        <f>'Pseudo-load coefficients'!U280</f>
        <v>10.692887488538833</v>
      </c>
      <c r="V90" s="185">
        <f>'Pseudo-load coefficients'!V280</f>
        <v>10.692887488538833</v>
      </c>
      <c r="W90" s="185">
        <f>'Pseudo-load coefficients'!W280</f>
        <v>10.692887488538833</v>
      </c>
      <c r="X90" s="185">
        <f>'Pseudo-load coefficients'!X280</f>
        <v>10.692887488538833</v>
      </c>
      <c r="Y90" s="185">
        <f>'Pseudo-load coefficients'!Y280</f>
        <v>10.692887488538833</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190</v>
      </c>
      <c r="G93" s="54" t="s">
        <v>284</v>
      </c>
      <c r="H93" s="19"/>
      <c r="I93" s="19"/>
      <c r="J93" s="403">
        <f>'Pseudo-load coefficients'!J283</f>
        <v>0.19661638873466153</v>
      </c>
      <c r="K93" s="403">
        <f>'Pseudo-load coefficients'!K283</f>
        <v>0.19661638873466153</v>
      </c>
      <c r="L93" s="403">
        <f>'Pseudo-load coefficients'!L283</f>
        <v>0.21077299965471219</v>
      </c>
      <c r="M93" s="403">
        <f>'Pseudo-load coefficients'!M283</f>
        <v>0.21077299965471219</v>
      </c>
      <c r="N93" s="403">
        <f>'Pseudo-load coefficients'!N283</f>
        <v>0.16589515719498427</v>
      </c>
      <c r="O93" s="403">
        <f>'Pseudo-load coefficients'!O283</f>
        <v>0.1608458115168748</v>
      </c>
      <c r="P93" s="403">
        <f>'Pseudo-load coefficients'!P283</f>
        <v>0.14350554398005416</v>
      </c>
      <c r="Q93" s="403">
        <f>'Pseudo-load coefficients'!Q283</f>
        <v>0.23630364639837984</v>
      </c>
      <c r="R93" s="403">
        <f>'Pseudo-load coefficients'!R283</f>
        <v>0.13483248755789726</v>
      </c>
      <c r="S93" s="403">
        <f>'Pseudo-load coefficients'!S283</f>
        <v>0.13483248755789726</v>
      </c>
      <c r="T93" s="403">
        <f>'Pseudo-load coefficients'!T283</f>
        <v>0.13483248755789726</v>
      </c>
      <c r="U93" s="403">
        <f>'Pseudo-load coefficients'!U283</f>
        <v>0.13483248755789726</v>
      </c>
      <c r="V93" s="403">
        <f>'Pseudo-load coefficients'!V283</f>
        <v>0.13483248755789726</v>
      </c>
      <c r="W93" s="403">
        <f>'Pseudo-load coefficients'!W283</f>
        <v>0.13483248755789726</v>
      </c>
      <c r="X93" s="403">
        <f>'Pseudo-load coefficients'!X283</f>
        <v>0.13483248755789726</v>
      </c>
      <c r="Y93" s="403">
        <f>'Pseudo-load coefficients'!Y283</f>
        <v>0.13483248755789726</v>
      </c>
    </row>
    <row r="94" spans="5:25" x14ac:dyDescent="0.25">
      <c r="E94" s="27"/>
      <c r="F94" s="181" t="s">
        <v>192</v>
      </c>
      <c r="G94" s="23" t="s">
        <v>284</v>
      </c>
      <c r="J94" s="184">
        <f>'Pseudo-load coefficients'!J283</f>
        <v>0.19661638873466153</v>
      </c>
      <c r="K94" s="184">
        <f>'Pseudo-load coefficients'!K283</f>
        <v>0.19661638873466153</v>
      </c>
      <c r="L94" s="184">
        <f>'Pseudo-load coefficients'!L283</f>
        <v>0.21077299965471219</v>
      </c>
      <c r="M94" s="184">
        <f>'Pseudo-load coefficients'!M283</f>
        <v>0.21077299965471219</v>
      </c>
      <c r="N94" s="184">
        <f>'Pseudo-load coefficients'!N283</f>
        <v>0.16589515719498427</v>
      </c>
      <c r="O94" s="184">
        <f>'Pseudo-load coefficients'!O283</f>
        <v>0.1608458115168748</v>
      </c>
      <c r="P94" s="184">
        <f>'Pseudo-load coefficients'!P283</f>
        <v>0.14350554398005416</v>
      </c>
      <c r="Q94" s="184">
        <f>'Pseudo-load coefficients'!Q283</f>
        <v>0.23630364639837984</v>
      </c>
      <c r="R94" s="184">
        <f>'Pseudo-load coefficients'!R283</f>
        <v>0.13483248755789726</v>
      </c>
      <c r="S94" s="184">
        <f>'Pseudo-load coefficients'!S283</f>
        <v>0.13483248755789726</v>
      </c>
      <c r="T94" s="184">
        <f>'Pseudo-load coefficients'!T283</f>
        <v>0.13483248755789726</v>
      </c>
      <c r="U94" s="184">
        <f>'Pseudo-load coefficients'!U283</f>
        <v>0.13483248755789726</v>
      </c>
      <c r="V94" s="184">
        <f>'Pseudo-load coefficients'!V283</f>
        <v>0.13483248755789726</v>
      </c>
      <c r="W94" s="184">
        <f>'Pseudo-load coefficients'!W283</f>
        <v>0.13483248755789726</v>
      </c>
      <c r="X94" s="184">
        <f>'Pseudo-load coefficients'!X283</f>
        <v>0.13483248755789726</v>
      </c>
      <c r="Y94" s="184">
        <f>'Pseudo-load coefficients'!Y283</f>
        <v>0.13483248755789726</v>
      </c>
    </row>
    <row r="95" spans="5:25" x14ac:dyDescent="0.25">
      <c r="E95" s="27"/>
      <c r="F95" s="181" t="s">
        <v>193</v>
      </c>
      <c r="G95" s="23" t="s">
        <v>284</v>
      </c>
      <c r="J95" s="184">
        <f>'Pseudo-load coefficients'!J284</f>
        <v>0.47026021699282611</v>
      </c>
      <c r="K95" s="184">
        <f>'Pseudo-load coefficients'!K284</f>
        <v>0.47026021699282611</v>
      </c>
      <c r="L95" s="184">
        <f>'Pseudo-load coefficients'!L284</f>
        <v>0.50411950494938707</v>
      </c>
      <c r="M95" s="184">
        <f>'Pseudo-load coefficients'!M284</f>
        <v>0.50411950494938707</v>
      </c>
      <c r="N95" s="184">
        <f>'Pseudo-load coefficients'!N284</f>
        <v>0.3967822475157648</v>
      </c>
      <c r="O95" s="184">
        <f>'Pseudo-load coefficients'!O284</f>
        <v>0.38470539873657172</v>
      </c>
      <c r="P95" s="184">
        <f>'Pseudo-load coefficients'!P284</f>
        <v>0.34323155198830529</v>
      </c>
      <c r="Q95" s="184">
        <f>'Pseudo-load coefficients'!Q284</f>
        <v>0.55168352863262304</v>
      </c>
      <c r="R95" s="184">
        <f>'Pseudo-load coefficients'!R284</f>
        <v>0.3224876383129367</v>
      </c>
      <c r="S95" s="184">
        <f>'Pseudo-load coefficients'!S284</f>
        <v>0.3224876383129367</v>
      </c>
      <c r="T95" s="184">
        <f>'Pseudo-load coefficients'!T284</f>
        <v>0.3224876383129367</v>
      </c>
      <c r="U95" s="184">
        <f>'Pseudo-load coefficients'!U284</f>
        <v>0.3224876383129367</v>
      </c>
      <c r="V95" s="184">
        <f>'Pseudo-load coefficients'!V284</f>
        <v>0.3224876383129367</v>
      </c>
      <c r="W95" s="184">
        <f>'Pseudo-load coefficients'!W284</f>
        <v>0.3224876383129367</v>
      </c>
      <c r="X95" s="184">
        <f>'Pseudo-load coefficients'!X284</f>
        <v>0.3224876383129367</v>
      </c>
      <c r="Y95" s="184">
        <f>'Pseudo-load coefficients'!Y284</f>
        <v>0.3224876383129367</v>
      </c>
    </row>
    <row r="96" spans="5:25" x14ac:dyDescent="0.25">
      <c r="E96" s="27"/>
      <c r="F96" s="181" t="s">
        <v>194</v>
      </c>
      <c r="G96" s="23" t="s">
        <v>284</v>
      </c>
      <c r="J96" s="184">
        <f>'Pseudo-load coefficients'!J285</f>
        <v>0.47026021699282611</v>
      </c>
      <c r="K96" s="184">
        <f>'Pseudo-load coefficients'!K285</f>
        <v>0.47026021699282611</v>
      </c>
      <c r="L96" s="184">
        <f>'Pseudo-load coefficients'!L285</f>
        <v>0.50411950494938707</v>
      </c>
      <c r="M96" s="184">
        <f>'Pseudo-load coefficients'!M285</f>
        <v>0.50411950494938707</v>
      </c>
      <c r="N96" s="184">
        <f>'Pseudo-load coefficients'!N285</f>
        <v>0.3967822475157648</v>
      </c>
      <c r="O96" s="184">
        <f>'Pseudo-load coefficients'!O285</f>
        <v>0.38470539873657172</v>
      </c>
      <c r="P96" s="184">
        <f>'Pseudo-load coefficients'!P285</f>
        <v>0.34323155198830529</v>
      </c>
      <c r="Q96" s="184">
        <f>'Pseudo-load coefficients'!Q285</f>
        <v>0.55168352863262304</v>
      </c>
      <c r="R96" s="184">
        <f>'Pseudo-load coefficients'!R285</f>
        <v>0.3224876383129367</v>
      </c>
      <c r="S96" s="184">
        <f>'Pseudo-load coefficients'!S285</f>
        <v>0.3224876383129367</v>
      </c>
      <c r="T96" s="184">
        <f>'Pseudo-load coefficients'!T285</f>
        <v>0.3224876383129367</v>
      </c>
      <c r="U96" s="184">
        <f>'Pseudo-load coefficients'!U285</f>
        <v>0.3224876383129367</v>
      </c>
      <c r="V96" s="184">
        <f>'Pseudo-load coefficients'!V285</f>
        <v>0.3224876383129367</v>
      </c>
      <c r="W96" s="184">
        <f>'Pseudo-load coefficients'!W285</f>
        <v>0.3224876383129367</v>
      </c>
      <c r="X96" s="184">
        <f>'Pseudo-load coefficients'!X285</f>
        <v>0.3224876383129367</v>
      </c>
      <c r="Y96" s="184">
        <f>'Pseudo-load coefficients'!Y285</f>
        <v>0.3224876383129367</v>
      </c>
    </row>
    <row r="97" spans="3:25" x14ac:dyDescent="0.25">
      <c r="E97" s="27"/>
      <c r="F97" s="181" t="s">
        <v>195</v>
      </c>
      <c r="G97" s="23" t="s">
        <v>284</v>
      </c>
      <c r="J97" s="184">
        <f>'Pseudo-load coefficients'!J286</f>
        <v>1.2059004367983037</v>
      </c>
      <c r="K97" s="184">
        <f>'Pseudo-load coefficients'!K286</f>
        <v>1.2059004367983037</v>
      </c>
      <c r="L97" s="184">
        <f>'Pseudo-load coefficients'!L286</f>
        <v>1.2927266846097771</v>
      </c>
      <c r="M97" s="184">
        <f>'Pseudo-load coefficients'!M286</f>
        <v>1.2927266846097771</v>
      </c>
      <c r="N97" s="184">
        <f>'Pseudo-load coefficients'!N286</f>
        <v>1.0174789793038621</v>
      </c>
      <c r="O97" s="184">
        <f>'Pseudo-load coefficients'!O286</f>
        <v>0.98651000363523111</v>
      </c>
      <c r="P97" s="184">
        <f>'Pseudo-load coefficients'!P286</f>
        <v>0.88015754577847105</v>
      </c>
      <c r="Q97" s="184">
        <f>'Pseudo-load coefficients'!Q286</f>
        <v>1.0708199161042518</v>
      </c>
      <c r="R97" s="184">
        <f>'Pseudo-load coefficients'!R286</f>
        <v>0.82696339143984254</v>
      </c>
      <c r="S97" s="184">
        <f>'Pseudo-load coefficients'!S286</f>
        <v>0.82696339143984254</v>
      </c>
      <c r="T97" s="184">
        <f>'Pseudo-load coefficients'!T286</f>
        <v>0.82696339143984254</v>
      </c>
      <c r="U97" s="184">
        <f>'Pseudo-load coefficients'!U286</f>
        <v>0.82696339143984254</v>
      </c>
      <c r="V97" s="184">
        <f>'Pseudo-load coefficients'!V286</f>
        <v>0.82696339143984254</v>
      </c>
      <c r="W97" s="184">
        <f>'Pseudo-load coefficients'!W286</f>
        <v>0.82696339143984254</v>
      </c>
      <c r="X97" s="184">
        <f>'Pseudo-load coefficients'!X286</f>
        <v>0.82696339143984254</v>
      </c>
      <c r="Y97" s="184">
        <f>'Pseudo-load coefficients'!Y286</f>
        <v>0.82696339143984254</v>
      </c>
    </row>
    <row r="98" spans="3:25" x14ac:dyDescent="0.25">
      <c r="E98" s="27"/>
      <c r="F98" s="181" t="s">
        <v>196</v>
      </c>
      <c r="G98" s="23" t="s">
        <v>284</v>
      </c>
      <c r="J98" s="184">
        <f>'Pseudo-load coefficients'!J287</f>
        <v>1.2059004367983037</v>
      </c>
      <c r="K98" s="184">
        <f>'Pseudo-load coefficients'!K287</f>
        <v>1.2059004367983037</v>
      </c>
      <c r="L98" s="184">
        <f>'Pseudo-load coefficients'!L287</f>
        <v>1.2927266846097771</v>
      </c>
      <c r="M98" s="184">
        <f>'Pseudo-load coefficients'!M287</f>
        <v>1.2927266846097771</v>
      </c>
      <c r="N98" s="184">
        <f>'Pseudo-load coefficients'!N287</f>
        <v>1.0174789793038621</v>
      </c>
      <c r="O98" s="184">
        <f>'Pseudo-load coefficients'!O287</f>
        <v>0.98651000363523111</v>
      </c>
      <c r="P98" s="184">
        <f>'Pseudo-load coefficients'!P287</f>
        <v>0.88015754577847105</v>
      </c>
      <c r="Q98" s="184">
        <f>'Pseudo-load coefficients'!Q287</f>
        <v>1.0708199161042518</v>
      </c>
      <c r="R98" s="184">
        <f>'Pseudo-load coefficients'!R287</f>
        <v>0.82696339143984254</v>
      </c>
      <c r="S98" s="184">
        <f>'Pseudo-load coefficients'!S287</f>
        <v>0.82696339143984254</v>
      </c>
      <c r="T98" s="184">
        <f>'Pseudo-load coefficients'!T287</f>
        <v>0.82696339143984254</v>
      </c>
      <c r="U98" s="184">
        <f>'Pseudo-load coefficients'!U287</f>
        <v>0.82696339143984254</v>
      </c>
      <c r="V98" s="184">
        <f>'Pseudo-load coefficients'!V287</f>
        <v>0.82696339143984254</v>
      </c>
      <c r="W98" s="184">
        <f>'Pseudo-load coefficients'!W287</f>
        <v>0.82696339143984254</v>
      </c>
      <c r="X98" s="184">
        <f>'Pseudo-load coefficients'!X287</f>
        <v>0.82696339143984254</v>
      </c>
      <c r="Y98" s="184">
        <f>'Pseudo-load coefficients'!Y287</f>
        <v>0.82696339143984254</v>
      </c>
    </row>
    <row r="99" spans="3:25" x14ac:dyDescent="0.25">
      <c r="E99" s="27"/>
      <c r="F99" s="181" t="s">
        <v>197</v>
      </c>
      <c r="G99" s="23" t="s">
        <v>284</v>
      </c>
      <c r="J99" s="184">
        <f>'Pseudo-load coefficients'!J288</f>
        <v>0.47026021699282611</v>
      </c>
      <c r="K99" s="184">
        <f>'Pseudo-load coefficients'!K288</f>
        <v>0.47026021699282611</v>
      </c>
      <c r="L99" s="184">
        <f>'Pseudo-load coefficients'!L288</f>
        <v>0.50411950494938707</v>
      </c>
      <c r="M99" s="184">
        <f>'Pseudo-load coefficients'!M288</f>
        <v>0.50411950494938707</v>
      </c>
      <c r="N99" s="184">
        <f>'Pseudo-load coefficients'!N288</f>
        <v>0.3967822475157648</v>
      </c>
      <c r="O99" s="184">
        <f>'Pseudo-load coefficients'!O288</f>
        <v>0.38470539873657172</v>
      </c>
      <c r="P99" s="184">
        <f>'Pseudo-load coefficients'!P288</f>
        <v>0.34323155198830529</v>
      </c>
      <c r="Q99" s="184">
        <f>'Pseudo-load coefficients'!Q288</f>
        <v>0.55168352863262304</v>
      </c>
      <c r="R99" s="184">
        <f>'Pseudo-load coefficients'!R288</f>
        <v>0.3224876383129367</v>
      </c>
      <c r="S99" s="184">
        <f>'Pseudo-load coefficients'!S288</f>
        <v>0.3224876383129367</v>
      </c>
      <c r="T99" s="184">
        <f>'Pseudo-load coefficients'!T288</f>
        <v>0.3224876383129367</v>
      </c>
      <c r="U99" s="184">
        <f>'Pseudo-load coefficients'!U288</f>
        <v>0.3224876383129367</v>
      </c>
      <c r="V99" s="184">
        <f>'Pseudo-load coefficients'!V288</f>
        <v>0.3224876383129367</v>
      </c>
      <c r="W99" s="184">
        <f>'Pseudo-load coefficients'!W288</f>
        <v>0.3224876383129367</v>
      </c>
      <c r="X99" s="184">
        <f>'Pseudo-load coefficients'!X288</f>
        <v>0.3224876383129367</v>
      </c>
      <c r="Y99" s="184">
        <f>'Pseudo-load coefficients'!Y288</f>
        <v>0.3224876383129367</v>
      </c>
    </row>
    <row r="100" spans="3:25" x14ac:dyDescent="0.25">
      <c r="E100" s="27"/>
      <c r="F100" s="181" t="s">
        <v>198</v>
      </c>
      <c r="G100" s="23" t="s">
        <v>284</v>
      </c>
      <c r="J100" s="184">
        <f>'Pseudo-load coefficients'!J289</f>
        <v>1.2059004367983037</v>
      </c>
      <c r="K100" s="184">
        <f>'Pseudo-load coefficients'!K289</f>
        <v>1.2059004367983037</v>
      </c>
      <c r="L100" s="184">
        <f>'Pseudo-load coefficients'!L289</f>
        <v>1.2927266846097771</v>
      </c>
      <c r="M100" s="184">
        <f>'Pseudo-load coefficients'!M289</f>
        <v>1.2927266846097771</v>
      </c>
      <c r="N100" s="184">
        <f>'Pseudo-load coefficients'!N289</f>
        <v>1.0174789793038621</v>
      </c>
      <c r="O100" s="184">
        <f>'Pseudo-load coefficients'!O289</f>
        <v>0.98651000363523111</v>
      </c>
      <c r="P100" s="184">
        <f>'Pseudo-load coefficients'!P289</f>
        <v>0.88015754577847105</v>
      </c>
      <c r="Q100" s="184">
        <f>'Pseudo-load coefficients'!Q289</f>
        <v>1.0708199161042518</v>
      </c>
      <c r="R100" s="184">
        <f>'Pseudo-load coefficients'!R289</f>
        <v>0.82696339143984254</v>
      </c>
      <c r="S100" s="184">
        <f>'Pseudo-load coefficients'!S289</f>
        <v>0.82696339143984254</v>
      </c>
      <c r="T100" s="184">
        <f>'Pseudo-load coefficients'!T289</f>
        <v>0.82696339143984254</v>
      </c>
      <c r="U100" s="184">
        <f>'Pseudo-load coefficients'!U289</f>
        <v>0.82696339143984254</v>
      </c>
      <c r="V100" s="184">
        <f>'Pseudo-load coefficients'!V289</f>
        <v>0.82696339143984254</v>
      </c>
      <c r="W100" s="184">
        <f>'Pseudo-load coefficients'!W289</f>
        <v>0.82696339143984254</v>
      </c>
      <c r="X100" s="184">
        <f>'Pseudo-load coefficients'!X289</f>
        <v>0.82696339143984254</v>
      </c>
      <c r="Y100" s="184">
        <f>'Pseudo-load coefficients'!Y289</f>
        <v>0.82696339143984254</v>
      </c>
    </row>
    <row r="101" spans="3:25" x14ac:dyDescent="0.25">
      <c r="E101" s="27"/>
      <c r="F101" s="181" t="s">
        <v>199</v>
      </c>
      <c r="G101" s="23" t="s">
        <v>284</v>
      </c>
      <c r="J101" s="184">
        <f>'Pseudo-load coefficients'!J290</f>
        <v>1.2059004367983037</v>
      </c>
      <c r="K101" s="184">
        <f>'Pseudo-load coefficients'!K290</f>
        <v>1.2059004367983037</v>
      </c>
      <c r="L101" s="184">
        <f>'Pseudo-load coefficients'!L290</f>
        <v>1.2927266846097771</v>
      </c>
      <c r="M101" s="184">
        <f>'Pseudo-load coefficients'!M290</f>
        <v>1.2927266846097771</v>
      </c>
      <c r="N101" s="184">
        <f>'Pseudo-load coefficients'!N290</f>
        <v>1.0174789793038621</v>
      </c>
      <c r="O101" s="184">
        <f>'Pseudo-load coefficients'!O290</f>
        <v>0.98651000363523111</v>
      </c>
      <c r="P101" s="184">
        <f>'Pseudo-load coefficients'!P290</f>
        <v>0.88015754577847105</v>
      </c>
      <c r="Q101" s="184">
        <f>'Pseudo-load coefficients'!Q290</f>
        <v>1.0708199161042518</v>
      </c>
      <c r="R101" s="184">
        <f>'Pseudo-load coefficients'!R290</f>
        <v>0.82696339143984254</v>
      </c>
      <c r="S101" s="184">
        <f>'Pseudo-load coefficients'!S290</f>
        <v>0.82696339143984254</v>
      </c>
      <c r="T101" s="184">
        <f>'Pseudo-load coefficients'!T290</f>
        <v>0.82696339143984254</v>
      </c>
      <c r="U101" s="184">
        <f>'Pseudo-load coefficients'!U290</f>
        <v>0.82696339143984254</v>
      </c>
      <c r="V101" s="184">
        <f>'Pseudo-load coefficients'!V290</f>
        <v>0.82696339143984254</v>
      </c>
      <c r="W101" s="184">
        <f>'Pseudo-load coefficients'!W290</f>
        <v>0.82696339143984254</v>
      </c>
      <c r="X101" s="184">
        <f>'Pseudo-load coefficients'!X290</f>
        <v>0.82696339143984254</v>
      </c>
      <c r="Y101" s="184">
        <f>'Pseudo-load coefficients'!Y290</f>
        <v>0.82696339143984254</v>
      </c>
    </row>
    <row r="102" spans="3:25" x14ac:dyDescent="0.25">
      <c r="E102" s="27"/>
      <c r="F102" s="182" t="s">
        <v>200</v>
      </c>
      <c r="G102" s="57" t="s">
        <v>284</v>
      </c>
      <c r="H102" s="28"/>
      <c r="I102" s="28"/>
      <c r="J102" s="185">
        <f>'Pseudo-load coefficients'!J291</f>
        <v>1.2059004367983037</v>
      </c>
      <c r="K102" s="185">
        <f>'Pseudo-load coefficients'!K291</f>
        <v>1.2059004367983037</v>
      </c>
      <c r="L102" s="185">
        <f>'Pseudo-load coefficients'!L291</f>
        <v>1.2927266846097771</v>
      </c>
      <c r="M102" s="185">
        <f>'Pseudo-load coefficients'!M291</f>
        <v>1.2927266846097771</v>
      </c>
      <c r="N102" s="185">
        <f>'Pseudo-load coefficients'!N291</f>
        <v>1.0174789793038621</v>
      </c>
      <c r="O102" s="185">
        <f>'Pseudo-load coefficients'!O291</f>
        <v>0.98651000363523111</v>
      </c>
      <c r="P102" s="185">
        <f>'Pseudo-load coefficients'!P291</f>
        <v>0.88015754577847105</v>
      </c>
      <c r="Q102" s="185">
        <f>'Pseudo-load coefficients'!Q291</f>
        <v>1.0708199161042518</v>
      </c>
      <c r="R102" s="185">
        <f>'Pseudo-load coefficients'!R291</f>
        <v>0.82696339143984254</v>
      </c>
      <c r="S102" s="185">
        <f>'Pseudo-load coefficients'!S291</f>
        <v>0.82696339143984254</v>
      </c>
      <c r="T102" s="185">
        <f>'Pseudo-load coefficients'!T291</f>
        <v>0.82696339143984254</v>
      </c>
      <c r="U102" s="185">
        <f>'Pseudo-load coefficients'!U291</f>
        <v>0.82696339143984254</v>
      </c>
      <c r="V102" s="185">
        <f>'Pseudo-load coefficients'!V291</f>
        <v>0.82696339143984254</v>
      </c>
      <c r="W102" s="185">
        <f>'Pseudo-load coefficients'!W291</f>
        <v>0.82696339143984254</v>
      </c>
      <c r="X102" s="185">
        <f>'Pseudo-load coefficients'!X291</f>
        <v>0.82696339143984254</v>
      </c>
      <c r="Y102" s="185">
        <f>'Pseudo-load coefficients'!Y291</f>
        <v>0.82696339143984254</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190</v>
      </c>
      <c r="G105" s="54" t="s">
        <v>284</v>
      </c>
      <c r="H105" s="19"/>
      <c r="I105" s="19"/>
      <c r="J105" s="403">
        <f>'Pseudo-load coefficients'!J294</f>
        <v>0</v>
      </c>
      <c r="K105" s="403">
        <f>'Pseudo-load coefficients'!K294</f>
        <v>0</v>
      </c>
      <c r="L105" s="403">
        <f>'Pseudo-load coefficients'!L294</f>
        <v>0</v>
      </c>
      <c r="M105" s="403">
        <f>'Pseudo-load coefficients'!M294</f>
        <v>0</v>
      </c>
      <c r="N105" s="403">
        <f>'Pseudo-load coefficients'!N294</f>
        <v>0</v>
      </c>
      <c r="O105" s="403">
        <f>'Pseudo-load coefficients'!O294</f>
        <v>0</v>
      </c>
      <c r="P105" s="403">
        <f>'Pseudo-load coefficients'!P294</f>
        <v>0</v>
      </c>
      <c r="Q105" s="403">
        <f>'Pseudo-load coefficients'!Q294</f>
        <v>0</v>
      </c>
      <c r="R105" s="403">
        <f>'Pseudo-load coefficients'!R294</f>
        <v>0</v>
      </c>
      <c r="S105" s="403">
        <f>'Pseudo-load coefficients'!S294</f>
        <v>0</v>
      </c>
      <c r="T105" s="403">
        <f>'Pseudo-load coefficients'!T294</f>
        <v>0</v>
      </c>
      <c r="U105" s="403">
        <f>'Pseudo-load coefficients'!U294</f>
        <v>0</v>
      </c>
      <c r="V105" s="403">
        <f>'Pseudo-load coefficients'!V294</f>
        <v>0</v>
      </c>
      <c r="W105" s="403">
        <f>'Pseudo-load coefficients'!W294</f>
        <v>0</v>
      </c>
      <c r="X105" s="403">
        <f>'Pseudo-load coefficients'!X294</f>
        <v>0</v>
      </c>
      <c r="Y105" s="403">
        <f>'Pseudo-load coefficients'!Y294</f>
        <v>0</v>
      </c>
    </row>
    <row r="106" spans="3:25" x14ac:dyDescent="0.25">
      <c r="C106" s="27"/>
      <c r="E106" s="27"/>
      <c r="F106" s="181" t="s">
        <v>192</v>
      </c>
      <c r="G106" s="23" t="s">
        <v>284</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193</v>
      </c>
      <c r="G107" s="23" t="s">
        <v>284</v>
      </c>
      <c r="J107" s="184">
        <f>'Pseudo-load coefficients'!J295</f>
        <v>9.1591342204309419E-3</v>
      </c>
      <c r="K107" s="184">
        <f>'Pseudo-load coefficients'!K295</f>
        <v>9.1591342204309419E-3</v>
      </c>
      <c r="L107" s="184">
        <f>'Pseudo-load coefficients'!L295</f>
        <v>9.818602641947647E-3</v>
      </c>
      <c r="M107" s="184">
        <f>'Pseudo-load coefficients'!M295</f>
        <v>9.818602641947647E-3</v>
      </c>
      <c r="N107" s="184">
        <f>'Pseudo-load coefficients'!N295</f>
        <v>7.7280231879291233E-3</v>
      </c>
      <c r="O107" s="184">
        <f>'Pseudo-load coefficients'!O295</f>
        <v>7.4928055893922598E-3</v>
      </c>
      <c r="P107" s="184">
        <f>'Pseudo-load coefficients'!P295</f>
        <v>6.6850304145452876E-3</v>
      </c>
      <c r="Q107" s="184">
        <f>'Pseudo-load coefficients'!Q295</f>
        <v>6.7959006030125823E-3</v>
      </c>
      <c r="R107" s="184">
        <f>'Pseudo-load coefficients'!R295</f>
        <v>6.2810066788682537E-3</v>
      </c>
      <c r="S107" s="184">
        <f>'Pseudo-load coefficients'!S295</f>
        <v>6.2810066788682537E-3</v>
      </c>
      <c r="T107" s="184">
        <f>'Pseudo-load coefficients'!T295</f>
        <v>6.2810066788682537E-3</v>
      </c>
      <c r="U107" s="184">
        <f>'Pseudo-load coefficients'!U295</f>
        <v>6.2810066788682537E-3</v>
      </c>
      <c r="V107" s="184">
        <f>'Pseudo-load coefficients'!V295</f>
        <v>6.2810066788682537E-3</v>
      </c>
      <c r="W107" s="184">
        <f>'Pseudo-load coefficients'!W295</f>
        <v>6.2810066788682537E-3</v>
      </c>
      <c r="X107" s="184">
        <f>'Pseudo-load coefficients'!X295</f>
        <v>6.2810066788682537E-3</v>
      </c>
      <c r="Y107" s="184">
        <f>'Pseudo-load coefficients'!Y295</f>
        <v>6.2810066788682537E-3</v>
      </c>
    </row>
    <row r="108" spans="3:25" x14ac:dyDescent="0.25">
      <c r="C108" s="27"/>
      <c r="E108" s="27"/>
      <c r="F108" s="181" t="s">
        <v>194</v>
      </c>
      <c r="G108" s="23" t="s">
        <v>284</v>
      </c>
      <c r="J108" s="184">
        <f>'Pseudo-load coefficients'!J296</f>
        <v>9.1591342204309419E-3</v>
      </c>
      <c r="K108" s="184">
        <f>'Pseudo-load coefficients'!K296</f>
        <v>9.1591342204309419E-3</v>
      </c>
      <c r="L108" s="184">
        <f>'Pseudo-load coefficients'!L296</f>
        <v>9.818602641947647E-3</v>
      </c>
      <c r="M108" s="184">
        <f>'Pseudo-load coefficients'!M296</f>
        <v>9.818602641947647E-3</v>
      </c>
      <c r="N108" s="184">
        <f>'Pseudo-load coefficients'!N296</f>
        <v>7.7280231879291233E-3</v>
      </c>
      <c r="O108" s="184">
        <f>'Pseudo-load coefficients'!O296</f>
        <v>7.4928055893922598E-3</v>
      </c>
      <c r="P108" s="184">
        <f>'Pseudo-load coefficients'!P296</f>
        <v>6.6850304145452876E-3</v>
      </c>
      <c r="Q108" s="184">
        <f>'Pseudo-load coefficients'!Q296</f>
        <v>6.7959006030125823E-3</v>
      </c>
      <c r="R108" s="184">
        <f>'Pseudo-load coefficients'!R296</f>
        <v>6.2810066788682537E-3</v>
      </c>
      <c r="S108" s="184">
        <f>'Pseudo-load coefficients'!S296</f>
        <v>6.2810066788682537E-3</v>
      </c>
      <c r="T108" s="184">
        <f>'Pseudo-load coefficients'!T296</f>
        <v>6.2810066788682537E-3</v>
      </c>
      <c r="U108" s="184">
        <f>'Pseudo-load coefficients'!U296</f>
        <v>6.2810066788682537E-3</v>
      </c>
      <c r="V108" s="184">
        <f>'Pseudo-load coefficients'!V296</f>
        <v>6.2810066788682537E-3</v>
      </c>
      <c r="W108" s="184">
        <f>'Pseudo-load coefficients'!W296</f>
        <v>6.2810066788682537E-3</v>
      </c>
      <c r="X108" s="184">
        <f>'Pseudo-load coefficients'!X296</f>
        <v>6.2810066788682537E-3</v>
      </c>
      <c r="Y108" s="184">
        <f>'Pseudo-load coefficients'!Y296</f>
        <v>6.2810066788682537E-3</v>
      </c>
    </row>
    <row r="109" spans="3:25" x14ac:dyDescent="0.25">
      <c r="C109" s="27"/>
      <c r="E109" s="27"/>
      <c r="F109" s="181" t="s">
        <v>195</v>
      </c>
      <c r="G109" s="23" t="s">
        <v>284</v>
      </c>
      <c r="J109" s="184">
        <f>'Pseudo-load coefficients'!J297</f>
        <v>0.10045487811227319</v>
      </c>
      <c r="K109" s="184">
        <f>'Pseudo-load coefficients'!K297</f>
        <v>0.10045487811227319</v>
      </c>
      <c r="L109" s="184">
        <f>'Pseudo-load coefficients'!L297</f>
        <v>0.10768774732327127</v>
      </c>
      <c r="M109" s="184">
        <f>'Pseudo-load coefficients'!M297</f>
        <v>0.10768774732327127</v>
      </c>
      <c r="N109" s="184">
        <f>'Pseudo-load coefficients'!N297</f>
        <v>8.4758843872004622E-2</v>
      </c>
      <c r="O109" s="184">
        <f>'Pseudo-load coefficients'!O297</f>
        <v>8.2179041608797868E-2</v>
      </c>
      <c r="P109" s="184">
        <f>'Pseudo-load coefficients'!P297</f>
        <v>7.331958450526882E-2</v>
      </c>
      <c r="Q109" s="184">
        <f>'Pseudo-load coefficients'!Q297</f>
        <v>7.4535578397346855E-2</v>
      </c>
      <c r="R109" s="184">
        <f>'Pseudo-load coefficients'!R297</f>
        <v>6.8888362716710727E-2</v>
      </c>
      <c r="S109" s="184">
        <f>'Pseudo-load coefficients'!S297</f>
        <v>6.8888362716710727E-2</v>
      </c>
      <c r="T109" s="184">
        <f>'Pseudo-load coefficients'!T297</f>
        <v>6.8888362716710727E-2</v>
      </c>
      <c r="U109" s="184">
        <f>'Pseudo-load coefficients'!U297</f>
        <v>6.8888362716710727E-2</v>
      </c>
      <c r="V109" s="184">
        <f>'Pseudo-load coefficients'!V297</f>
        <v>6.8888362716710727E-2</v>
      </c>
      <c r="W109" s="184">
        <f>'Pseudo-load coefficients'!W297</f>
        <v>6.8888362716710727E-2</v>
      </c>
      <c r="X109" s="184">
        <f>'Pseudo-load coefficients'!X297</f>
        <v>6.8888362716710727E-2</v>
      </c>
      <c r="Y109" s="184">
        <f>'Pseudo-load coefficients'!Y297</f>
        <v>6.8888362716710727E-2</v>
      </c>
    </row>
    <row r="110" spans="3:25" x14ac:dyDescent="0.25">
      <c r="C110" s="27"/>
      <c r="E110" s="27"/>
      <c r="F110" s="181" t="s">
        <v>196</v>
      </c>
      <c r="G110" s="23" t="s">
        <v>284</v>
      </c>
      <c r="J110" s="184">
        <f>'Pseudo-load coefficients'!J298</f>
        <v>0.10045487811227319</v>
      </c>
      <c r="K110" s="184">
        <f>'Pseudo-load coefficients'!K298</f>
        <v>0.10045487811227319</v>
      </c>
      <c r="L110" s="184">
        <f>'Pseudo-load coefficients'!L298</f>
        <v>0.10768774732327127</v>
      </c>
      <c r="M110" s="184">
        <f>'Pseudo-load coefficients'!M298</f>
        <v>0.10768774732327127</v>
      </c>
      <c r="N110" s="184">
        <f>'Pseudo-load coefficients'!N298</f>
        <v>8.4758843872004622E-2</v>
      </c>
      <c r="O110" s="184">
        <f>'Pseudo-load coefficients'!O298</f>
        <v>8.2179041608797868E-2</v>
      </c>
      <c r="P110" s="184">
        <f>'Pseudo-load coefficients'!P298</f>
        <v>7.331958450526882E-2</v>
      </c>
      <c r="Q110" s="184">
        <f>'Pseudo-load coefficients'!Q298</f>
        <v>7.4535578397346855E-2</v>
      </c>
      <c r="R110" s="184">
        <f>'Pseudo-load coefficients'!R298</f>
        <v>6.8888362716710727E-2</v>
      </c>
      <c r="S110" s="184">
        <f>'Pseudo-load coefficients'!S298</f>
        <v>6.8888362716710727E-2</v>
      </c>
      <c r="T110" s="184">
        <f>'Pseudo-load coefficients'!T298</f>
        <v>6.8888362716710727E-2</v>
      </c>
      <c r="U110" s="184">
        <f>'Pseudo-load coefficients'!U298</f>
        <v>6.8888362716710727E-2</v>
      </c>
      <c r="V110" s="184">
        <f>'Pseudo-load coefficients'!V298</f>
        <v>6.8888362716710727E-2</v>
      </c>
      <c r="W110" s="184">
        <f>'Pseudo-load coefficients'!W298</f>
        <v>6.8888362716710727E-2</v>
      </c>
      <c r="X110" s="184">
        <f>'Pseudo-load coefficients'!X298</f>
        <v>6.8888362716710727E-2</v>
      </c>
      <c r="Y110" s="184">
        <f>'Pseudo-load coefficients'!Y298</f>
        <v>6.8888362716710727E-2</v>
      </c>
    </row>
    <row r="111" spans="3:25" x14ac:dyDescent="0.25">
      <c r="C111" s="27"/>
      <c r="E111" s="27"/>
      <c r="F111" s="181" t="s">
        <v>197</v>
      </c>
      <c r="G111" s="23" t="s">
        <v>284</v>
      </c>
      <c r="J111" s="184">
        <f>'Pseudo-load coefficients'!J299</f>
        <v>9.1591342204309419E-3</v>
      </c>
      <c r="K111" s="184">
        <f>'Pseudo-load coefficients'!K299</f>
        <v>9.1591342204309419E-3</v>
      </c>
      <c r="L111" s="184">
        <f>'Pseudo-load coefficients'!L299</f>
        <v>9.818602641947647E-3</v>
      </c>
      <c r="M111" s="184">
        <f>'Pseudo-load coefficients'!M299</f>
        <v>9.818602641947647E-3</v>
      </c>
      <c r="N111" s="184">
        <f>'Pseudo-load coefficients'!N299</f>
        <v>7.7280231879291233E-3</v>
      </c>
      <c r="O111" s="184">
        <f>'Pseudo-load coefficients'!O299</f>
        <v>7.4928055893922598E-3</v>
      </c>
      <c r="P111" s="184">
        <f>'Pseudo-load coefficients'!P299</f>
        <v>6.6850304145452876E-3</v>
      </c>
      <c r="Q111" s="184">
        <f>'Pseudo-load coefficients'!Q299</f>
        <v>6.7959006030125823E-3</v>
      </c>
      <c r="R111" s="184">
        <f>'Pseudo-load coefficients'!R299</f>
        <v>6.2810066788682537E-3</v>
      </c>
      <c r="S111" s="184">
        <f>'Pseudo-load coefficients'!S299</f>
        <v>6.2810066788682537E-3</v>
      </c>
      <c r="T111" s="184">
        <f>'Pseudo-load coefficients'!T299</f>
        <v>6.2810066788682537E-3</v>
      </c>
      <c r="U111" s="184">
        <f>'Pseudo-load coefficients'!U299</f>
        <v>6.2810066788682537E-3</v>
      </c>
      <c r="V111" s="184">
        <f>'Pseudo-load coefficients'!V299</f>
        <v>6.2810066788682537E-3</v>
      </c>
      <c r="W111" s="184">
        <f>'Pseudo-load coefficients'!W299</f>
        <v>6.2810066788682537E-3</v>
      </c>
      <c r="X111" s="184">
        <f>'Pseudo-load coefficients'!X299</f>
        <v>6.2810066788682537E-3</v>
      </c>
      <c r="Y111" s="184">
        <f>'Pseudo-load coefficients'!Y299</f>
        <v>6.2810066788682537E-3</v>
      </c>
    </row>
    <row r="112" spans="3:25" x14ac:dyDescent="0.25">
      <c r="C112" s="27"/>
      <c r="E112" s="27"/>
      <c r="F112" s="181" t="s">
        <v>198</v>
      </c>
      <c r="G112" s="23" t="s">
        <v>284</v>
      </c>
      <c r="J112" s="184">
        <f>'Pseudo-load coefficients'!J300</f>
        <v>0.10045487811227319</v>
      </c>
      <c r="K112" s="184">
        <f>'Pseudo-load coefficients'!K300</f>
        <v>0.10045487811227319</v>
      </c>
      <c r="L112" s="184">
        <f>'Pseudo-load coefficients'!L300</f>
        <v>0.10768774732327127</v>
      </c>
      <c r="M112" s="184">
        <f>'Pseudo-load coefficients'!M300</f>
        <v>0.10768774732327127</v>
      </c>
      <c r="N112" s="184">
        <f>'Pseudo-load coefficients'!N300</f>
        <v>8.4758843872004622E-2</v>
      </c>
      <c r="O112" s="184">
        <f>'Pseudo-load coefficients'!O300</f>
        <v>8.2179041608797868E-2</v>
      </c>
      <c r="P112" s="184">
        <f>'Pseudo-load coefficients'!P300</f>
        <v>7.331958450526882E-2</v>
      </c>
      <c r="Q112" s="184">
        <f>'Pseudo-load coefficients'!Q300</f>
        <v>7.4535578397346855E-2</v>
      </c>
      <c r="R112" s="184">
        <f>'Pseudo-load coefficients'!R300</f>
        <v>6.8888362716710727E-2</v>
      </c>
      <c r="S112" s="184">
        <f>'Pseudo-load coefficients'!S300</f>
        <v>6.8888362716710727E-2</v>
      </c>
      <c r="T112" s="184">
        <f>'Pseudo-load coefficients'!T300</f>
        <v>6.8888362716710727E-2</v>
      </c>
      <c r="U112" s="184">
        <f>'Pseudo-load coefficients'!U300</f>
        <v>6.8888362716710727E-2</v>
      </c>
      <c r="V112" s="184">
        <f>'Pseudo-load coefficients'!V300</f>
        <v>6.8888362716710727E-2</v>
      </c>
      <c r="W112" s="184">
        <f>'Pseudo-load coefficients'!W300</f>
        <v>6.8888362716710727E-2</v>
      </c>
      <c r="X112" s="184">
        <f>'Pseudo-load coefficients'!X300</f>
        <v>6.8888362716710727E-2</v>
      </c>
      <c r="Y112" s="184">
        <f>'Pseudo-load coefficients'!Y300</f>
        <v>6.8888362716710727E-2</v>
      </c>
    </row>
    <row r="113" spans="2:27" x14ac:dyDescent="0.25">
      <c r="C113" s="27"/>
      <c r="E113" s="27"/>
      <c r="F113" s="181" t="s">
        <v>199</v>
      </c>
      <c r="G113" s="23" t="s">
        <v>284</v>
      </c>
      <c r="J113" s="184">
        <f>'Pseudo-load coefficients'!J301</f>
        <v>0.10045487811227319</v>
      </c>
      <c r="K113" s="184">
        <f>'Pseudo-load coefficients'!K301</f>
        <v>0.10045487811227319</v>
      </c>
      <c r="L113" s="184">
        <f>'Pseudo-load coefficients'!L301</f>
        <v>0.10768774732327127</v>
      </c>
      <c r="M113" s="184">
        <f>'Pseudo-load coefficients'!M301</f>
        <v>0.10768774732327127</v>
      </c>
      <c r="N113" s="184">
        <f>'Pseudo-load coefficients'!N301</f>
        <v>8.4758843872004622E-2</v>
      </c>
      <c r="O113" s="184">
        <f>'Pseudo-load coefficients'!O301</f>
        <v>8.2179041608797868E-2</v>
      </c>
      <c r="P113" s="184">
        <f>'Pseudo-load coefficients'!P301</f>
        <v>7.331958450526882E-2</v>
      </c>
      <c r="Q113" s="184">
        <f>'Pseudo-load coefficients'!Q301</f>
        <v>7.4535578397346855E-2</v>
      </c>
      <c r="R113" s="184">
        <f>'Pseudo-load coefficients'!R301</f>
        <v>6.8888362716710727E-2</v>
      </c>
      <c r="S113" s="184">
        <f>'Pseudo-load coefficients'!S301</f>
        <v>6.8888362716710727E-2</v>
      </c>
      <c r="T113" s="184">
        <f>'Pseudo-load coefficients'!T301</f>
        <v>6.8888362716710727E-2</v>
      </c>
      <c r="U113" s="184">
        <f>'Pseudo-load coefficients'!U301</f>
        <v>6.8888362716710727E-2</v>
      </c>
      <c r="V113" s="184">
        <f>'Pseudo-load coefficients'!V301</f>
        <v>6.8888362716710727E-2</v>
      </c>
      <c r="W113" s="184">
        <f>'Pseudo-load coefficients'!W301</f>
        <v>6.8888362716710727E-2</v>
      </c>
      <c r="X113" s="184">
        <f>'Pseudo-load coefficients'!X301</f>
        <v>6.8888362716710727E-2</v>
      </c>
      <c r="Y113" s="184">
        <f>'Pseudo-load coefficients'!Y301</f>
        <v>6.8888362716710727E-2</v>
      </c>
    </row>
    <row r="114" spans="2:27" x14ac:dyDescent="0.25">
      <c r="C114" s="27"/>
      <c r="E114" s="27"/>
      <c r="F114" s="182" t="s">
        <v>200</v>
      </c>
      <c r="G114" s="57" t="s">
        <v>284</v>
      </c>
      <c r="H114" s="28"/>
      <c r="I114" s="28"/>
      <c r="J114" s="185">
        <f>'Pseudo-load coefficients'!J302</f>
        <v>0.10045487811227319</v>
      </c>
      <c r="K114" s="185">
        <f>'Pseudo-load coefficients'!K302</f>
        <v>0.10045487811227319</v>
      </c>
      <c r="L114" s="185">
        <f>'Pseudo-load coefficients'!L302</f>
        <v>0.10768774732327127</v>
      </c>
      <c r="M114" s="185">
        <f>'Pseudo-load coefficients'!M302</f>
        <v>0.10768774732327127</v>
      </c>
      <c r="N114" s="185">
        <f>'Pseudo-load coefficients'!N302</f>
        <v>8.4758843872004622E-2</v>
      </c>
      <c r="O114" s="185">
        <f>'Pseudo-load coefficients'!O302</f>
        <v>8.2179041608797868E-2</v>
      </c>
      <c r="P114" s="185">
        <f>'Pseudo-load coefficients'!P302</f>
        <v>7.331958450526882E-2</v>
      </c>
      <c r="Q114" s="185">
        <f>'Pseudo-load coefficients'!Q302</f>
        <v>7.4535578397346855E-2</v>
      </c>
      <c r="R114" s="185">
        <f>'Pseudo-load coefficients'!R302</f>
        <v>6.8888362716710727E-2</v>
      </c>
      <c r="S114" s="185">
        <f>'Pseudo-load coefficients'!S302</f>
        <v>6.8888362716710727E-2</v>
      </c>
      <c r="T114" s="185">
        <f>'Pseudo-load coefficients'!T302</f>
        <v>6.8888362716710727E-2</v>
      </c>
      <c r="U114" s="185">
        <f>'Pseudo-load coefficients'!U302</f>
        <v>6.8888362716710727E-2</v>
      </c>
      <c r="V114" s="185">
        <f>'Pseudo-load coefficients'!V302</f>
        <v>6.8888362716710727E-2</v>
      </c>
      <c r="W114" s="185">
        <f>'Pseudo-load coefficients'!W302</f>
        <v>6.8888362716710727E-2</v>
      </c>
      <c r="X114" s="185">
        <f>'Pseudo-load coefficients'!X302</f>
        <v>6.8888362716710727E-2</v>
      </c>
      <c r="Y114" s="185">
        <f>'Pseudo-load coefficients'!Y302</f>
        <v>6.8888362716710727E-2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155</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190</v>
      </c>
      <c r="G123" s="19" t="s">
        <v>270</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192</v>
      </c>
      <c r="G124" t="s">
        <v>270</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193</v>
      </c>
      <c r="G125" t="s">
        <v>270</v>
      </c>
      <c r="H125" s="256"/>
      <c r="I125" s="256"/>
      <c r="J125" s="264">
        <f t="shared" ref="J125:Y125" si="2">hundred * $H20 * J57 / $H45 * J$78 * (1 - J69) / hours_in_year</f>
        <v>0.27197339828735606</v>
      </c>
      <c r="K125" s="264">
        <f t="shared" si="2"/>
        <v>0.27197339828735606</v>
      </c>
      <c r="L125" s="264">
        <f t="shared" si="2"/>
        <v>0.22306555276883971</v>
      </c>
      <c r="M125" s="264">
        <f t="shared" si="2"/>
        <v>0.22306555276883971</v>
      </c>
      <c r="N125" s="264">
        <f t="shared" si="2"/>
        <v>0.19089591350533369</v>
      </c>
      <c r="O125" s="264">
        <f t="shared" si="2"/>
        <v>0.17118340639640844</v>
      </c>
      <c r="P125" s="264">
        <f t="shared" si="2"/>
        <v>0.1483654378521401</v>
      </c>
      <c r="Q125" s="264">
        <f t="shared" si="2"/>
        <v>0.25290690767933682</v>
      </c>
      <c r="R125" s="264">
        <f t="shared" si="2"/>
        <v>-0.1350687474175126</v>
      </c>
      <c r="S125" s="264">
        <f t="shared" si="2"/>
        <v>-0.13315378407983516</v>
      </c>
      <c r="T125" s="264">
        <f t="shared" si="2"/>
        <v>-0.1350687474175126</v>
      </c>
      <c r="U125" s="264">
        <f t="shared" si="2"/>
        <v>-0.1350687474175126</v>
      </c>
      <c r="V125" s="264">
        <f t="shared" si="2"/>
        <v>-0.13315378407983516</v>
      </c>
      <c r="W125" s="264">
        <f t="shared" si="2"/>
        <v>-0.13315378407983516</v>
      </c>
      <c r="X125" s="264">
        <f t="shared" si="2"/>
        <v>-0.13162181340969323</v>
      </c>
      <c r="Y125" s="264">
        <f t="shared" si="2"/>
        <v>-0.13162181340969323</v>
      </c>
      <c r="Z125" s="256"/>
      <c r="AA125" s="256"/>
    </row>
    <row r="126" spans="2:27" x14ac:dyDescent="0.25">
      <c r="E126" s="27"/>
      <c r="F126" s="181" t="s">
        <v>194</v>
      </c>
      <c r="G126" t="s">
        <v>270</v>
      </c>
      <c r="H126" s="256"/>
      <c r="I126" s="256"/>
      <c r="J126" s="264">
        <f t="shared" ref="J126:Y126" si="3">hundred * $H21 * J58 / $H46 * J$78 * (1 - J70) / hours_in_year</f>
        <v>3.8957871595269547E-2</v>
      </c>
      <c r="K126" s="264">
        <f t="shared" si="3"/>
        <v>3.8957871595269547E-2</v>
      </c>
      <c r="L126" s="264">
        <f t="shared" si="3"/>
        <v>3.1952239508786853E-2</v>
      </c>
      <c r="M126" s="264">
        <f t="shared" si="3"/>
        <v>3.1952239508786853E-2</v>
      </c>
      <c r="N126" s="264">
        <f t="shared" si="3"/>
        <v>2.7344212828288986E-2</v>
      </c>
      <c r="O126" s="264">
        <f t="shared" si="3"/>
        <v>2.4520564171448822E-2</v>
      </c>
      <c r="P126" s="264">
        <f t="shared" si="3"/>
        <v>7.0131879273030674E-3</v>
      </c>
      <c r="Q126" s="264">
        <f t="shared" si="3"/>
        <v>3.6226759296945334E-2</v>
      </c>
      <c r="R126" s="264">
        <f t="shared" si="3"/>
        <v>-1.9347447035484491E-2</v>
      </c>
      <c r="S126" s="264">
        <f t="shared" si="3"/>
        <v>-1.9073144856342462E-2</v>
      </c>
      <c r="T126" s="264">
        <f t="shared" si="3"/>
        <v>-1.9347447035484491E-2</v>
      </c>
      <c r="U126" s="264">
        <f t="shared" si="3"/>
        <v>-1.9347447035484491E-2</v>
      </c>
      <c r="V126" s="264">
        <f t="shared" si="3"/>
        <v>-1.9073144856342462E-2</v>
      </c>
      <c r="W126" s="264">
        <f t="shared" si="3"/>
        <v>-1.9073144856342462E-2</v>
      </c>
      <c r="X126" s="264">
        <f t="shared" si="3"/>
        <v>-6.2217220272995158E-3</v>
      </c>
      <c r="Y126" s="264">
        <f t="shared" si="3"/>
        <v>-6.2217220272995158E-3</v>
      </c>
      <c r="Z126" s="256"/>
      <c r="AA126" s="256"/>
    </row>
    <row r="127" spans="2:27" x14ac:dyDescent="0.25">
      <c r="E127" s="27"/>
      <c r="F127" s="181" t="s">
        <v>195</v>
      </c>
      <c r="G127" t="s">
        <v>270</v>
      </c>
      <c r="H127" s="256"/>
      <c r="I127" s="256"/>
      <c r="J127" s="264">
        <f t="shared" ref="J127:Y127" si="4">hundred * $H22 * J59 / $H47 * J$78 * (1 - J71) / hours_in_year</f>
        <v>0.1245732788228303</v>
      </c>
      <c r="K127" s="264">
        <f t="shared" si="4"/>
        <v>0.1245732788228303</v>
      </c>
      <c r="L127" s="264">
        <f t="shared" si="4"/>
        <v>0.102171783989998</v>
      </c>
      <c r="M127" s="264">
        <f t="shared" si="4"/>
        <v>0.102171783989998</v>
      </c>
      <c r="N127" s="264">
        <f t="shared" si="4"/>
        <v>8.7436969972016484E-2</v>
      </c>
      <c r="O127" s="264">
        <f t="shared" si="4"/>
        <v>7.8407955885195293E-2</v>
      </c>
      <c r="P127" s="264">
        <f t="shared" si="4"/>
        <v>2.242565569754883E-2</v>
      </c>
      <c r="Q127" s="264">
        <f t="shared" si="4"/>
        <v>0.1158401627694134</v>
      </c>
      <c r="R127" s="264">
        <f t="shared" si="4"/>
        <v>-6.186618558376291E-2</v>
      </c>
      <c r="S127" s="264">
        <f t="shared" si="4"/>
        <v>-6.0989065750344719E-2</v>
      </c>
      <c r="T127" s="264">
        <f t="shared" si="4"/>
        <v>-6.186618558376291E-2</v>
      </c>
      <c r="U127" s="264">
        <f t="shared" si="4"/>
        <v>-6.186618558376291E-2</v>
      </c>
      <c r="V127" s="264">
        <f t="shared" si="4"/>
        <v>-6.0989065750344719E-2</v>
      </c>
      <c r="W127" s="264">
        <f t="shared" si="4"/>
        <v>-6.0989065750344719E-2</v>
      </c>
      <c r="X127" s="264">
        <f t="shared" si="4"/>
        <v>-1.9894832061591351E-2</v>
      </c>
      <c r="Y127" s="264">
        <f t="shared" si="4"/>
        <v>-1.9894832061591351E-2</v>
      </c>
      <c r="Z127" s="256"/>
      <c r="AA127" s="256"/>
    </row>
    <row r="128" spans="2:27" x14ac:dyDescent="0.25">
      <c r="E128" s="27"/>
      <c r="F128" s="181" t="s">
        <v>196</v>
      </c>
      <c r="G128" t="s">
        <v>270</v>
      </c>
      <c r="H128" s="256"/>
      <c r="I128" s="256"/>
      <c r="J128" s="264">
        <f t="shared" ref="J128:Y128" si="5">hundred * $H23 * J60 / $H48 * J$78 * (1 - J72) / hours_in_year</f>
        <v>1.8721151317094623E-2</v>
      </c>
      <c r="K128" s="264">
        <f t="shared" si="5"/>
        <v>1.8721151317094623E-2</v>
      </c>
      <c r="L128" s="264">
        <f t="shared" si="5"/>
        <v>1.5354604506594297E-2</v>
      </c>
      <c r="M128" s="264">
        <f t="shared" si="5"/>
        <v>1.5354604506594297E-2</v>
      </c>
      <c r="N128" s="264">
        <f t="shared" si="5"/>
        <v>1.3140223658096282E-2</v>
      </c>
      <c r="O128" s="264">
        <f t="shared" si="5"/>
        <v>1.1783323201105339E-2</v>
      </c>
      <c r="P128" s="264">
        <f t="shared" si="5"/>
        <v>0</v>
      </c>
      <c r="Q128" s="264">
        <f t="shared" si="5"/>
        <v>1.7408719079212456E-2</v>
      </c>
      <c r="R128" s="264">
        <f t="shared" si="5"/>
        <v>-9.2973889157425063E-3</v>
      </c>
      <c r="S128" s="264">
        <f t="shared" si="5"/>
        <v>-9.1655733829106179E-3</v>
      </c>
      <c r="T128" s="264">
        <f t="shared" si="5"/>
        <v>-9.2973889157425063E-3</v>
      </c>
      <c r="U128" s="264">
        <f t="shared" si="5"/>
        <v>-9.2973889157425063E-3</v>
      </c>
      <c r="V128" s="264">
        <f t="shared" si="5"/>
        <v>-9.1655733829106179E-3</v>
      </c>
      <c r="W128" s="264">
        <f t="shared" si="5"/>
        <v>-9.1655733829106179E-3</v>
      </c>
      <c r="X128" s="264">
        <f t="shared" si="5"/>
        <v>0</v>
      </c>
      <c r="Y128" s="264">
        <f t="shared" si="5"/>
        <v>0</v>
      </c>
      <c r="Z128" s="256"/>
      <c r="AA128" s="256"/>
    </row>
    <row r="129" spans="4:27" x14ac:dyDescent="0.25">
      <c r="E129" s="27"/>
      <c r="F129" s="181" t="s">
        <v>197</v>
      </c>
      <c r="G129" t="s">
        <v>270</v>
      </c>
      <c r="H129" s="256"/>
      <c r="I129" s="256"/>
      <c r="J129" s="264">
        <f t="shared" ref="J129:Y129" si="6">hundred * $H24 * J61 / $H49 * J$78 * (1 - J73) / hours_in_year</f>
        <v>0</v>
      </c>
      <c r="K129" s="264">
        <f t="shared" si="6"/>
        <v>0</v>
      </c>
      <c r="L129" s="264">
        <f t="shared" si="6"/>
        <v>0</v>
      </c>
      <c r="M129" s="264">
        <f t="shared" si="6"/>
        <v>0</v>
      </c>
      <c r="N129" s="264">
        <f t="shared" si="6"/>
        <v>0</v>
      </c>
      <c r="O129" s="264">
        <f t="shared" si="6"/>
        <v>0</v>
      </c>
      <c r="P129" s="264">
        <f t="shared" si="6"/>
        <v>0</v>
      </c>
      <c r="Q129" s="264">
        <f t="shared" si="6"/>
        <v>0</v>
      </c>
      <c r="R129" s="264">
        <f t="shared" si="6"/>
        <v>0</v>
      </c>
      <c r="S129" s="264">
        <f t="shared" si="6"/>
        <v>0</v>
      </c>
      <c r="T129" s="264">
        <f t="shared" si="6"/>
        <v>0</v>
      </c>
      <c r="U129" s="264">
        <f t="shared" si="6"/>
        <v>0</v>
      </c>
      <c r="V129" s="264">
        <f t="shared" si="6"/>
        <v>0</v>
      </c>
      <c r="W129" s="264">
        <f t="shared" si="6"/>
        <v>0</v>
      </c>
      <c r="X129" s="264">
        <f t="shared" si="6"/>
        <v>0</v>
      </c>
      <c r="Y129" s="264">
        <f t="shared" si="6"/>
        <v>0</v>
      </c>
      <c r="Z129" s="256"/>
      <c r="AA129" s="256"/>
    </row>
    <row r="130" spans="4:27" x14ac:dyDescent="0.25">
      <c r="E130" s="27"/>
      <c r="F130" s="181" t="s">
        <v>198</v>
      </c>
      <c r="G130" t="s">
        <v>270</v>
      </c>
      <c r="H130" s="256"/>
      <c r="I130" s="256"/>
      <c r="J130" s="264">
        <f t="shared" ref="J130:Y130" si="7">hundred * $H25 * J62 / $H50 * J$78 * (1 - J74) / hours_in_year</f>
        <v>8.6211065067911777E-2</v>
      </c>
      <c r="K130" s="264">
        <f t="shared" si="7"/>
        <v>8.6211065067911777E-2</v>
      </c>
      <c r="L130" s="264">
        <f t="shared" si="7"/>
        <v>7.0708087648505072E-2</v>
      </c>
      <c r="M130" s="264">
        <f t="shared" si="7"/>
        <v>7.0708087648505072E-2</v>
      </c>
      <c r="N130" s="264">
        <f t="shared" si="7"/>
        <v>6.0510844531267816E-2</v>
      </c>
      <c r="O130" s="264">
        <f t="shared" si="7"/>
        <v>5.4262306094344397E-2</v>
      </c>
      <c r="P130" s="264">
        <f t="shared" si="7"/>
        <v>0</v>
      </c>
      <c r="Q130" s="264">
        <f t="shared" si="7"/>
        <v>8.0167303167757262E-2</v>
      </c>
      <c r="R130" s="264">
        <f t="shared" si="7"/>
        <v>-4.2814557032337025E-2</v>
      </c>
      <c r="S130" s="264">
        <f t="shared" si="7"/>
        <v>-4.2207545354184799E-2</v>
      </c>
      <c r="T130" s="264">
        <f t="shared" si="7"/>
        <v>-4.2814557032337025E-2</v>
      </c>
      <c r="U130" s="264">
        <f t="shared" si="7"/>
        <v>-4.2814557032337025E-2</v>
      </c>
      <c r="V130" s="264">
        <f t="shared" si="7"/>
        <v>-4.2207545354184799E-2</v>
      </c>
      <c r="W130" s="264">
        <f t="shared" si="7"/>
        <v>-4.2207545354184799E-2</v>
      </c>
      <c r="X130" s="264">
        <f t="shared" si="7"/>
        <v>0</v>
      </c>
      <c r="Y130" s="264">
        <f t="shared" si="7"/>
        <v>0</v>
      </c>
      <c r="Z130" s="256"/>
      <c r="AA130" s="256"/>
    </row>
    <row r="131" spans="4:27" x14ac:dyDescent="0.25">
      <c r="E131" s="27"/>
      <c r="F131" s="181" t="s">
        <v>199</v>
      </c>
      <c r="G131" t="s">
        <v>270</v>
      </c>
      <c r="H131" s="256"/>
      <c r="I131" s="256"/>
      <c r="J131" s="264">
        <f t="shared" ref="J131:Y131" si="8">hundred * $H26 * J63 / $H51 * J$78 * (1 - J75) / hours_in_year</f>
        <v>9.3081864745578283E-3</v>
      </c>
      <c r="K131" s="264">
        <f t="shared" si="8"/>
        <v>9.3081864745578283E-3</v>
      </c>
      <c r="L131" s="264">
        <f t="shared" si="8"/>
        <v>7.6343339984629947E-3</v>
      </c>
      <c r="M131" s="264">
        <f t="shared" si="8"/>
        <v>7.6343339984629947E-3</v>
      </c>
      <c r="N131" s="264">
        <f t="shared" si="8"/>
        <v>6.5333402874251448E-3</v>
      </c>
      <c r="O131" s="264">
        <f t="shared" si="8"/>
        <v>5.8586872029456937E-3</v>
      </c>
      <c r="P131" s="264">
        <f t="shared" si="8"/>
        <v>0</v>
      </c>
      <c r="Q131" s="264">
        <f t="shared" si="8"/>
        <v>8.6556430599723476E-3</v>
      </c>
      <c r="R131" s="264">
        <f t="shared" si="8"/>
        <v>-4.6226766873677999E-3</v>
      </c>
      <c r="S131" s="264">
        <f t="shared" si="8"/>
        <v>0</v>
      </c>
      <c r="T131" s="264">
        <f t="shared" si="8"/>
        <v>-4.6226766873677999E-3</v>
      </c>
      <c r="U131" s="264">
        <f t="shared" si="8"/>
        <v>-4.6226766873677999E-3</v>
      </c>
      <c r="V131" s="264">
        <f t="shared" si="8"/>
        <v>0</v>
      </c>
      <c r="W131" s="264">
        <f t="shared" si="8"/>
        <v>0</v>
      </c>
      <c r="X131" s="264">
        <f t="shared" si="8"/>
        <v>0</v>
      </c>
      <c r="Y131" s="264">
        <f t="shared" si="8"/>
        <v>0</v>
      </c>
      <c r="Z131" s="256"/>
      <c r="AA131" s="256"/>
    </row>
    <row r="132" spans="4:27" x14ac:dyDescent="0.25">
      <c r="E132" s="27"/>
      <c r="F132" s="182" t="s">
        <v>200</v>
      </c>
      <c r="G132" s="28" t="s">
        <v>270</v>
      </c>
      <c r="H132" s="258"/>
      <c r="I132" s="258"/>
      <c r="J132" s="265">
        <f t="shared" ref="J132:Y132" si="9">hundred * $H27 * J64 / $H52 * J$78 * (1 - J76) / hours_in_year</f>
        <v>2.2970789648680014E-2</v>
      </c>
      <c r="K132" s="265">
        <f t="shared" si="9"/>
        <v>2.2970789648680014E-2</v>
      </c>
      <c r="L132" s="265">
        <f t="shared" si="9"/>
        <v>1.8840048044352287E-2</v>
      </c>
      <c r="M132" s="265">
        <f t="shared" si="9"/>
        <v>1.8840048044352287E-2</v>
      </c>
      <c r="N132" s="265">
        <f t="shared" si="9"/>
        <v>1.612301019708769E-2</v>
      </c>
      <c r="O132" s="265">
        <f t="shared" si="9"/>
        <v>0</v>
      </c>
      <c r="P132" s="265">
        <f t="shared" si="9"/>
        <v>0</v>
      </c>
      <c r="Q132" s="265">
        <f t="shared" si="9"/>
        <v>2.13604397105857E-2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190</v>
      </c>
      <c r="G135" s="19" t="s">
        <v>270</v>
      </c>
      <c r="H135" s="255"/>
      <c r="I135" s="255"/>
      <c r="J135" s="263">
        <f t="shared" ref="J135:Y135" si="10">hundred * $H30 * J55 / $H43 * J$78 / hours_in_year</f>
        <v>8.6673220562799719E-2</v>
      </c>
      <c r="K135" s="263">
        <f t="shared" si="10"/>
        <v>8.6673220562799719E-2</v>
      </c>
      <c r="L135" s="263">
        <f t="shared" si="10"/>
        <v>7.108713564210116E-2</v>
      </c>
      <c r="M135" s="263">
        <f t="shared" si="10"/>
        <v>7.108713564210116E-2</v>
      </c>
      <c r="N135" s="263">
        <f t="shared" si="10"/>
        <v>6.0835227709673111E-2</v>
      </c>
      <c r="O135" s="263">
        <f t="shared" si="10"/>
        <v>5.4553192454546956E-2</v>
      </c>
      <c r="P135" s="263">
        <f t="shared" si="10"/>
        <v>4.7281500322572979E-2</v>
      </c>
      <c r="Q135" s="263">
        <f t="shared" si="10"/>
        <v>8.0597059599140389E-2</v>
      </c>
      <c r="R135" s="263">
        <f t="shared" si="10"/>
        <v>-4.3044074934454349E-2</v>
      </c>
      <c r="S135" s="263">
        <f t="shared" si="10"/>
        <v>-4.243380922177304E-2</v>
      </c>
      <c r="T135" s="263">
        <f t="shared" si="10"/>
        <v>-4.3044074934454349E-2</v>
      </c>
      <c r="U135" s="263">
        <f t="shared" si="10"/>
        <v>-4.3044074934454349E-2</v>
      </c>
      <c r="V135" s="263">
        <f t="shared" si="10"/>
        <v>-4.243380922177304E-2</v>
      </c>
      <c r="W135" s="263">
        <f t="shared" si="10"/>
        <v>-4.243380922177304E-2</v>
      </c>
      <c r="X135" s="263">
        <f t="shared" si="10"/>
        <v>-4.1945596651628003E-2</v>
      </c>
      <c r="Y135" s="263">
        <f t="shared" si="10"/>
        <v>-4.1945596651628003E-2</v>
      </c>
      <c r="Z135" s="256"/>
      <c r="AA135" s="256"/>
    </row>
    <row r="136" spans="4:27" x14ac:dyDescent="0.25">
      <c r="D136" s="27"/>
      <c r="E136" s="27"/>
      <c r="F136" s="181" t="s">
        <v>192</v>
      </c>
      <c r="G136" t="s">
        <v>270</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193</v>
      </c>
      <c r="G137" t="s">
        <v>270</v>
      </c>
      <c r="H137" s="256"/>
      <c r="I137" s="256"/>
      <c r="J137" s="264">
        <f t="shared" ref="J137:Y137" si="12">hundred * $H32 * J57 / $H45 * J$78 / hours_in_year</f>
        <v>0.24638430498503788</v>
      </c>
      <c r="K137" s="264">
        <f t="shared" si="12"/>
        <v>0.24638430498503788</v>
      </c>
      <c r="L137" s="264">
        <f t="shared" si="12"/>
        <v>0.20207803973161192</v>
      </c>
      <c r="M137" s="264">
        <f t="shared" si="12"/>
        <v>0.20207803973161192</v>
      </c>
      <c r="N137" s="264">
        <f t="shared" si="12"/>
        <v>0.17293513729530852</v>
      </c>
      <c r="O137" s="264">
        <f t="shared" si="12"/>
        <v>0.1550773159270083</v>
      </c>
      <c r="P137" s="264">
        <f t="shared" si="12"/>
        <v>0.13440621589901941</v>
      </c>
      <c r="Q137" s="264">
        <f t="shared" si="12"/>
        <v>0.22911171852422085</v>
      </c>
      <c r="R137" s="264">
        <f t="shared" si="12"/>
        <v>-0.12236056786150244</v>
      </c>
      <c r="S137" s="264">
        <f t="shared" si="12"/>
        <v>-0.12062577720184028</v>
      </c>
      <c r="T137" s="264">
        <f t="shared" si="12"/>
        <v>-0.12236056786150244</v>
      </c>
      <c r="U137" s="264">
        <f t="shared" si="12"/>
        <v>-0.12236056786150244</v>
      </c>
      <c r="V137" s="264">
        <f t="shared" si="12"/>
        <v>-0.12062577720184028</v>
      </c>
      <c r="W137" s="264">
        <f t="shared" si="12"/>
        <v>-0.12062577720184028</v>
      </c>
      <c r="X137" s="264">
        <f t="shared" si="12"/>
        <v>-0.1192379446741106</v>
      </c>
      <c r="Y137" s="264">
        <f t="shared" si="12"/>
        <v>-0.1192379446741106</v>
      </c>
      <c r="Z137" s="256"/>
      <c r="AA137" s="256"/>
    </row>
    <row r="138" spans="4:27" x14ac:dyDescent="0.25">
      <c r="D138" s="27"/>
      <c r="E138" s="27"/>
      <c r="F138" s="181" t="s">
        <v>194</v>
      </c>
      <c r="G138" t="s">
        <v>270</v>
      </c>
      <c r="H138" s="256"/>
      <c r="I138" s="256"/>
      <c r="J138" s="264">
        <f t="shared" ref="J138:Y138" si="13">hundred * $H33 * J58 / $H46 * J$78 / hours_in_year</f>
        <v>3.5292452045458271E-2</v>
      </c>
      <c r="K138" s="264">
        <f t="shared" si="13"/>
        <v>3.5292452045458271E-2</v>
      </c>
      <c r="L138" s="264">
        <f t="shared" si="13"/>
        <v>2.8945957118093297E-2</v>
      </c>
      <c r="M138" s="264">
        <f t="shared" si="13"/>
        <v>2.8945957118093297E-2</v>
      </c>
      <c r="N138" s="264">
        <f t="shared" si="13"/>
        <v>2.4771484694774092E-2</v>
      </c>
      <c r="O138" s="264">
        <f t="shared" si="13"/>
        <v>2.2213503964973274E-2</v>
      </c>
      <c r="P138" s="264">
        <f t="shared" si="13"/>
        <v>1.9252545041437249E-2</v>
      </c>
      <c r="Q138" s="264">
        <f t="shared" si="13"/>
        <v>3.281830122888562E-2</v>
      </c>
      <c r="R138" s="264">
        <f t="shared" si="13"/>
        <v>-1.7527108610953773E-2</v>
      </c>
      <c r="S138" s="264">
        <f t="shared" si="13"/>
        <v>-1.7278614632537603E-2</v>
      </c>
      <c r="T138" s="264">
        <f t="shared" si="13"/>
        <v>-1.7527108610953773E-2</v>
      </c>
      <c r="U138" s="264">
        <f t="shared" si="13"/>
        <v>-1.7527108610953773E-2</v>
      </c>
      <c r="V138" s="264">
        <f t="shared" si="13"/>
        <v>-1.7278614632537603E-2</v>
      </c>
      <c r="W138" s="264">
        <f t="shared" si="13"/>
        <v>-1.7278614632537603E-2</v>
      </c>
      <c r="X138" s="264">
        <f t="shared" si="13"/>
        <v>-1.7079819449804669E-2</v>
      </c>
      <c r="Y138" s="264">
        <f t="shared" si="13"/>
        <v>-1.7079819449804669E-2</v>
      </c>
      <c r="Z138" s="256"/>
      <c r="AA138" s="256"/>
    </row>
    <row r="139" spans="4:27" x14ac:dyDescent="0.25">
      <c r="D139" s="27"/>
      <c r="E139" s="27"/>
      <c r="F139" s="181" t="s">
        <v>195</v>
      </c>
      <c r="G139" t="s">
        <v>270</v>
      </c>
      <c r="H139" s="256"/>
      <c r="I139" s="256"/>
      <c r="J139" s="264">
        <f t="shared" ref="J139:Y139" si="14">hundred * $H34 * J59 / $H47 * J$78 / hours_in_year</f>
        <v>0.11285258380322</v>
      </c>
      <c r="K139" s="264">
        <f t="shared" si="14"/>
        <v>0.11285258380322</v>
      </c>
      <c r="L139" s="264">
        <f t="shared" si="14"/>
        <v>9.255877282843579E-2</v>
      </c>
      <c r="M139" s="264">
        <f t="shared" si="14"/>
        <v>9.255877282843579E-2</v>
      </c>
      <c r="N139" s="264">
        <f t="shared" si="14"/>
        <v>7.9210309582525229E-2</v>
      </c>
      <c r="O139" s="264">
        <f t="shared" si="14"/>
        <v>7.1030806092514304E-2</v>
      </c>
      <c r="P139" s="264">
        <f t="shared" si="14"/>
        <v>6.1562723097718729E-2</v>
      </c>
      <c r="Q139" s="264">
        <f t="shared" si="14"/>
        <v>0.10494113826213293</v>
      </c>
      <c r="R139" s="264">
        <f t="shared" si="14"/>
        <v>-5.6045397208390982E-2</v>
      </c>
      <c r="S139" s="264">
        <f t="shared" si="14"/>
        <v>-5.5250802730011143E-2</v>
      </c>
      <c r="T139" s="264">
        <f t="shared" si="14"/>
        <v>-5.6045397208390982E-2</v>
      </c>
      <c r="U139" s="264">
        <f t="shared" si="14"/>
        <v>-5.6045397208390982E-2</v>
      </c>
      <c r="V139" s="264">
        <f t="shared" si="14"/>
        <v>-5.5250802730011143E-2</v>
      </c>
      <c r="W139" s="264">
        <f t="shared" si="14"/>
        <v>-5.5250802730011143E-2</v>
      </c>
      <c r="X139" s="264">
        <f t="shared" si="14"/>
        <v>-5.461512714730727E-2</v>
      </c>
      <c r="Y139" s="264">
        <f t="shared" si="14"/>
        <v>-5.461512714730727E-2</v>
      </c>
      <c r="Z139" s="256"/>
      <c r="AA139" s="256"/>
    </row>
    <row r="140" spans="4:27" x14ac:dyDescent="0.25">
      <c r="D140" s="27"/>
      <c r="E140" s="27"/>
      <c r="F140" s="181" t="s">
        <v>196</v>
      </c>
      <c r="G140" t="s">
        <v>270</v>
      </c>
      <c r="H140" s="256"/>
      <c r="I140" s="256"/>
      <c r="J140" s="264">
        <f t="shared" ref="J140:Y140" si="15">hundred * $H35 * J60 / $H48 * J$78 / hours_in_year</f>
        <v>8.9261784324420557E-2</v>
      </c>
      <c r="K140" s="264">
        <f t="shared" si="15"/>
        <v>8.9261784324420557E-2</v>
      </c>
      <c r="L140" s="264">
        <f t="shared" si="15"/>
        <v>7.3210208744100877E-2</v>
      </c>
      <c r="M140" s="264">
        <f t="shared" si="15"/>
        <v>7.3210208744100877E-2</v>
      </c>
      <c r="N140" s="264">
        <f t="shared" si="15"/>
        <v>6.2652119534583578E-2</v>
      </c>
      <c r="O140" s="264">
        <f t="shared" si="15"/>
        <v>5.6182466365815205E-2</v>
      </c>
      <c r="P140" s="264">
        <f t="shared" si="15"/>
        <v>4.8693599440793676E-2</v>
      </c>
      <c r="Q140" s="264">
        <f t="shared" si="15"/>
        <v>8.3004154044423697E-2</v>
      </c>
      <c r="R140" s="264">
        <f t="shared" si="15"/>
        <v>-4.4329620017518258E-2</v>
      </c>
      <c r="S140" s="264">
        <f t="shared" si="15"/>
        <v>-4.3701128240332267E-2</v>
      </c>
      <c r="T140" s="264">
        <f t="shared" si="15"/>
        <v>-4.4329620017518258E-2</v>
      </c>
      <c r="U140" s="264">
        <f t="shared" si="15"/>
        <v>-4.4329620017518258E-2</v>
      </c>
      <c r="V140" s="264">
        <f t="shared" si="15"/>
        <v>-4.3701128240332267E-2</v>
      </c>
      <c r="W140" s="264">
        <f t="shared" si="15"/>
        <v>-4.3701128240332267E-2</v>
      </c>
      <c r="X140" s="264">
        <f t="shared" si="15"/>
        <v>-4.3198334818583477E-2</v>
      </c>
      <c r="Y140" s="264">
        <f t="shared" si="15"/>
        <v>-4.3198334818583477E-2</v>
      </c>
      <c r="Z140" s="256"/>
      <c r="AA140" s="256"/>
    </row>
    <row r="141" spans="4:27" x14ac:dyDescent="0.25">
      <c r="D141" s="27"/>
      <c r="E141" s="27"/>
      <c r="F141" s="181" t="s">
        <v>197</v>
      </c>
      <c r="G141" t="s">
        <v>270</v>
      </c>
      <c r="H141" s="256"/>
      <c r="I141" s="256"/>
      <c r="J141" s="264">
        <f t="shared" ref="J141:Y141" si="16">hundred * $H36 * J61 / $H49 * J$78 / hours_in_year</f>
        <v>0</v>
      </c>
      <c r="K141" s="264">
        <f t="shared" si="16"/>
        <v>0</v>
      </c>
      <c r="L141" s="264">
        <f t="shared" si="16"/>
        <v>0</v>
      </c>
      <c r="M141" s="264">
        <f t="shared" si="16"/>
        <v>0</v>
      </c>
      <c r="N141" s="264">
        <f t="shared" si="16"/>
        <v>0</v>
      </c>
      <c r="O141" s="264">
        <f t="shared" si="16"/>
        <v>0</v>
      </c>
      <c r="P141" s="264">
        <f t="shared" si="16"/>
        <v>0</v>
      </c>
      <c r="Q141" s="264">
        <f t="shared" si="16"/>
        <v>0</v>
      </c>
      <c r="R141" s="264">
        <f t="shared" si="16"/>
        <v>0</v>
      </c>
      <c r="S141" s="264">
        <f t="shared" si="16"/>
        <v>0</v>
      </c>
      <c r="T141" s="264">
        <f t="shared" si="16"/>
        <v>0</v>
      </c>
      <c r="U141" s="264">
        <f t="shared" si="16"/>
        <v>0</v>
      </c>
      <c r="V141" s="264">
        <f t="shared" si="16"/>
        <v>0</v>
      </c>
      <c r="W141" s="264">
        <f t="shared" si="16"/>
        <v>0</v>
      </c>
      <c r="X141" s="264">
        <f t="shared" si="16"/>
        <v>0</v>
      </c>
      <c r="Y141" s="264">
        <f t="shared" si="16"/>
        <v>0</v>
      </c>
      <c r="Z141" s="256"/>
      <c r="AA141" s="256"/>
    </row>
    <row r="142" spans="4:27" x14ac:dyDescent="0.25">
      <c r="D142" s="27"/>
      <c r="E142" s="27"/>
      <c r="F142" s="181" t="s">
        <v>198</v>
      </c>
      <c r="G142" t="s">
        <v>270</v>
      </c>
      <c r="H142" s="256"/>
      <c r="I142" s="256"/>
      <c r="J142" s="264">
        <f t="shared" ref="J142:Y142" si="17">hundred * $H37 * J62 / $H50 * J$78 / hours_in_year</f>
        <v>0.41105129519698719</v>
      </c>
      <c r="K142" s="264">
        <f t="shared" si="17"/>
        <v>0.41105129519698719</v>
      </c>
      <c r="L142" s="264">
        <f t="shared" si="17"/>
        <v>0.33713364967623072</v>
      </c>
      <c r="M142" s="264">
        <f t="shared" si="17"/>
        <v>0.33713364967623072</v>
      </c>
      <c r="N142" s="264">
        <f t="shared" si="17"/>
        <v>0.28851355679746787</v>
      </c>
      <c r="O142" s="264">
        <f t="shared" si="17"/>
        <v>0.25872074753844471</v>
      </c>
      <c r="P142" s="264">
        <f t="shared" si="17"/>
        <v>0.22423445004410023</v>
      </c>
      <c r="Q142" s="264">
        <f t="shared" si="17"/>
        <v>0.38223485318964451</v>
      </c>
      <c r="R142" s="264">
        <f t="shared" si="17"/>
        <v>-0.20413828674502532</v>
      </c>
      <c r="S142" s="264">
        <f t="shared" si="17"/>
        <v>-0.20124407663049282</v>
      </c>
      <c r="T142" s="264">
        <f t="shared" si="17"/>
        <v>-0.20413828674502532</v>
      </c>
      <c r="U142" s="264">
        <f t="shared" si="17"/>
        <v>-0.20413828674502532</v>
      </c>
      <c r="V142" s="264">
        <f t="shared" si="17"/>
        <v>-0.20124407663049282</v>
      </c>
      <c r="W142" s="264">
        <f t="shared" si="17"/>
        <v>-0.20124407663049282</v>
      </c>
      <c r="X142" s="264">
        <f t="shared" si="17"/>
        <v>0</v>
      </c>
      <c r="Y142" s="264">
        <f t="shared" si="17"/>
        <v>0</v>
      </c>
      <c r="Z142" s="256"/>
      <c r="AA142" s="256"/>
    </row>
    <row r="143" spans="4:27" x14ac:dyDescent="0.25">
      <c r="D143" s="27"/>
      <c r="E143" s="27"/>
      <c r="F143" s="181" t="s">
        <v>199</v>
      </c>
      <c r="G143" t="s">
        <v>270</v>
      </c>
      <c r="H143" s="256"/>
      <c r="I143" s="256"/>
      <c r="J143" s="264">
        <f t="shared" ref="J143:Y143" si="18">hundred * $H38 * J63 / $H51 * J$78 / hours_in_year</f>
        <v>0.16864818909840248</v>
      </c>
      <c r="K143" s="264">
        <f t="shared" si="18"/>
        <v>0.16864818909840248</v>
      </c>
      <c r="L143" s="264">
        <f t="shared" si="18"/>
        <v>0.1383208863866591</v>
      </c>
      <c r="M143" s="264">
        <f t="shared" si="18"/>
        <v>0.1383208863866591</v>
      </c>
      <c r="N143" s="264">
        <f t="shared" si="18"/>
        <v>0.11837279058058708</v>
      </c>
      <c r="O143" s="264">
        <f t="shared" si="18"/>
        <v>0.10614924722140488</v>
      </c>
      <c r="P143" s="264">
        <f t="shared" si="18"/>
        <v>0</v>
      </c>
      <c r="Q143" s="264">
        <f t="shared" si="18"/>
        <v>0.1568252345971437</v>
      </c>
      <c r="R143" s="264">
        <f t="shared" si="18"/>
        <v>-8.3754881172921E-2</v>
      </c>
      <c r="S143" s="264">
        <f t="shared" si="18"/>
        <v>0</v>
      </c>
      <c r="T143" s="264">
        <f t="shared" si="18"/>
        <v>-8.3754881172921E-2</v>
      </c>
      <c r="U143" s="264">
        <f t="shared" si="18"/>
        <v>-8.3754881172921E-2</v>
      </c>
      <c r="V143" s="264">
        <f t="shared" si="18"/>
        <v>0</v>
      </c>
      <c r="W143" s="264">
        <f t="shared" si="18"/>
        <v>0</v>
      </c>
      <c r="X143" s="264">
        <f t="shared" si="18"/>
        <v>0</v>
      </c>
      <c r="Y143" s="264">
        <f t="shared" si="18"/>
        <v>0</v>
      </c>
      <c r="Z143" s="256"/>
      <c r="AA143" s="256"/>
    </row>
    <row r="144" spans="4:27" x14ac:dyDescent="0.25">
      <c r="D144" s="27"/>
      <c r="E144" s="27"/>
      <c r="F144" s="182" t="s">
        <v>200</v>
      </c>
      <c r="G144" s="28" t="s">
        <v>270</v>
      </c>
      <c r="H144" s="258"/>
      <c r="I144" s="258"/>
      <c r="J144" s="265">
        <f t="shared" ref="J144:Y144" si="19">hundred * $H39 * J64 / $H52 * J$78 / hours_in_year</f>
        <v>0.41619085382517984</v>
      </c>
      <c r="K144" s="265">
        <f t="shared" si="19"/>
        <v>0.41619085382517984</v>
      </c>
      <c r="L144" s="265">
        <f t="shared" si="19"/>
        <v>0.34134898284338971</v>
      </c>
      <c r="M144" s="265">
        <f t="shared" si="19"/>
        <v>0.34134898284338971</v>
      </c>
      <c r="N144" s="265">
        <f t="shared" si="19"/>
        <v>0.2921209711457875</v>
      </c>
      <c r="O144" s="265">
        <f t="shared" si="19"/>
        <v>0</v>
      </c>
      <c r="P144" s="265">
        <f t="shared" si="19"/>
        <v>0</v>
      </c>
      <c r="Q144" s="265">
        <f t="shared" si="19"/>
        <v>0.38701410692430394</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155</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190</v>
      </c>
      <c r="G152" s="19" t="s">
        <v>270</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192</v>
      </c>
      <c r="G153" t="s">
        <v>270</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193</v>
      </c>
      <c r="G154" t="s">
        <v>270</v>
      </c>
      <c r="H154" s="256"/>
      <c r="I154" s="256"/>
      <c r="J154" s="264">
        <f t="shared" ref="J154:Y154" si="22">hundred * $H20 * J57 / $H45 * J83 * (1 - J69) / hours_in_year</f>
        <v>2.8748902672638721</v>
      </c>
      <c r="K154" s="264">
        <f t="shared" si="22"/>
        <v>2.8748902672638721</v>
      </c>
      <c r="L154" s="264">
        <f t="shared" si="22"/>
        <v>3.0818857431416173</v>
      </c>
      <c r="M154" s="264">
        <f t="shared" si="22"/>
        <v>3.0818857431416173</v>
      </c>
      <c r="N154" s="264">
        <f t="shared" si="22"/>
        <v>2.4256898210540281</v>
      </c>
      <c r="O154" s="264">
        <f t="shared" si="22"/>
        <v>2.3185152371447568</v>
      </c>
      <c r="P154" s="264">
        <f t="shared" si="22"/>
        <v>2.0447642069589094</v>
      </c>
      <c r="Q154" s="264">
        <f t="shared" si="22"/>
        <v>6.5236536120911941</v>
      </c>
      <c r="R154" s="264">
        <f t="shared" si="22"/>
        <v>-1.9714969270150207</v>
      </c>
      <c r="S154" s="264">
        <f t="shared" si="22"/>
        <v>-1.9435456473314423</v>
      </c>
      <c r="T154" s="264">
        <f t="shared" si="22"/>
        <v>-1.9714969270150207</v>
      </c>
      <c r="U154" s="264">
        <f t="shared" si="22"/>
        <v>-1.9714969270150207</v>
      </c>
      <c r="V154" s="264">
        <f t="shared" si="22"/>
        <v>-1.9435456473314423</v>
      </c>
      <c r="W154" s="264">
        <f t="shared" si="22"/>
        <v>-1.9435456473314423</v>
      </c>
      <c r="X154" s="264">
        <f t="shared" si="22"/>
        <v>-1.9211846235845802</v>
      </c>
      <c r="Y154" s="264">
        <f t="shared" si="22"/>
        <v>-1.9211846235845802</v>
      </c>
      <c r="Z154" s="256"/>
      <c r="AA154" s="256"/>
    </row>
    <row r="155" spans="3:27" x14ac:dyDescent="0.25">
      <c r="E155" s="27"/>
      <c r="F155" s="181" t="s">
        <v>194</v>
      </c>
      <c r="G155" t="s">
        <v>270</v>
      </c>
      <c r="H155" s="256"/>
      <c r="I155" s="256"/>
      <c r="J155" s="264">
        <f t="shared" ref="J155:Y155" si="23">hundred * $H21 * J58 / $H46 * J84 * (1 - J70) / hours_in_year</f>
        <v>0.41180353147708143</v>
      </c>
      <c r="K155" s="264">
        <f t="shared" si="23"/>
        <v>0.41180353147708143</v>
      </c>
      <c r="L155" s="264">
        <f t="shared" si="23"/>
        <v>0.44145386941758374</v>
      </c>
      <c r="M155" s="264">
        <f t="shared" si="23"/>
        <v>0.44145386941758374</v>
      </c>
      <c r="N155" s="264">
        <f t="shared" si="23"/>
        <v>0.34745939556460081</v>
      </c>
      <c r="O155" s="264">
        <f t="shared" si="23"/>
        <v>0.33210754974252388</v>
      </c>
      <c r="P155" s="264">
        <f t="shared" si="23"/>
        <v>9.6655365683732244E-2</v>
      </c>
      <c r="Q155" s="264">
        <f t="shared" si="23"/>
        <v>0.93445778650507194</v>
      </c>
      <c r="R155" s="264">
        <f t="shared" si="23"/>
        <v>-0.28240013404535347</v>
      </c>
      <c r="S155" s="264">
        <f t="shared" si="23"/>
        <v>-0.27839635142656299</v>
      </c>
      <c r="T155" s="264">
        <f t="shared" si="23"/>
        <v>-0.28240013404535347</v>
      </c>
      <c r="U155" s="264">
        <f t="shared" si="23"/>
        <v>-0.28240013404535347</v>
      </c>
      <c r="V155" s="264">
        <f t="shared" si="23"/>
        <v>-0.27839635142656299</v>
      </c>
      <c r="W155" s="264">
        <f t="shared" si="23"/>
        <v>-0.27839635142656299</v>
      </c>
      <c r="X155" s="264">
        <f t="shared" si="23"/>
        <v>-9.0813797359405105E-2</v>
      </c>
      <c r="Y155" s="264">
        <f t="shared" si="23"/>
        <v>-9.0813797359405105E-2</v>
      </c>
      <c r="Z155" s="256"/>
      <c r="AA155" s="256"/>
    </row>
    <row r="156" spans="3:27" x14ac:dyDescent="0.25">
      <c r="E156" s="27"/>
      <c r="F156" s="181" t="s">
        <v>195</v>
      </c>
      <c r="G156" t="s">
        <v>270</v>
      </c>
      <c r="H156" s="256"/>
      <c r="I156" s="256"/>
      <c r="J156" s="264">
        <f t="shared" ref="J156:Y156" si="24">hundred * $H22 * J59 / $H47 * J85 * (1 - J71) / hours_in_year</f>
        <v>0.96465829989243546</v>
      </c>
      <c r="K156" s="264">
        <f t="shared" si="24"/>
        <v>0.96465829989243546</v>
      </c>
      <c r="L156" s="264">
        <f t="shared" si="24"/>
        <v>1.0341148305014085</v>
      </c>
      <c r="M156" s="264">
        <f t="shared" si="24"/>
        <v>1.0341148305014085</v>
      </c>
      <c r="N156" s="264">
        <f t="shared" si="24"/>
        <v>0.81393082911348258</v>
      </c>
      <c r="O156" s="264">
        <f t="shared" si="24"/>
        <v>0.7779688123774513</v>
      </c>
      <c r="P156" s="264">
        <f t="shared" si="24"/>
        <v>0.22641719560178158</v>
      </c>
      <c r="Q156" s="264">
        <f t="shared" si="24"/>
        <v>2.0500019935121578</v>
      </c>
      <c r="R156" s="264">
        <f t="shared" si="24"/>
        <v>-0.66152816179223994</v>
      </c>
      <c r="S156" s="264">
        <f t="shared" si="24"/>
        <v>-0.65214921809953341</v>
      </c>
      <c r="T156" s="264">
        <f t="shared" si="24"/>
        <v>-0.66152816179223994</v>
      </c>
      <c r="U156" s="264">
        <f t="shared" si="24"/>
        <v>-0.66152816179223994</v>
      </c>
      <c r="V156" s="264">
        <f t="shared" si="24"/>
        <v>-0.65214921809953341</v>
      </c>
      <c r="W156" s="264">
        <f t="shared" si="24"/>
        <v>-0.65214921809953341</v>
      </c>
      <c r="X156" s="264">
        <f t="shared" si="24"/>
        <v>-0.21273320083797143</v>
      </c>
      <c r="Y156" s="264">
        <f t="shared" si="24"/>
        <v>-0.21273320083797143</v>
      </c>
      <c r="Z156" s="256"/>
      <c r="AA156" s="256"/>
    </row>
    <row r="157" spans="3:27" x14ac:dyDescent="0.25">
      <c r="E157" s="27"/>
      <c r="F157" s="181" t="s">
        <v>196</v>
      </c>
      <c r="G157" t="s">
        <v>270</v>
      </c>
      <c r="H157" s="256"/>
      <c r="I157" s="256"/>
      <c r="J157" s="264">
        <f t="shared" ref="J157:Y157" si="25">hundred * $H23 * J60 / $H48 * J86 * (1 - J72) / hours_in_year</f>
        <v>0.14497100961163584</v>
      </c>
      <c r="K157" s="264">
        <f t="shared" si="25"/>
        <v>0.14497100961163584</v>
      </c>
      <c r="L157" s="264">
        <f t="shared" si="25"/>
        <v>0.15540909257596328</v>
      </c>
      <c r="M157" s="264">
        <f t="shared" si="25"/>
        <v>0.15540909257596328</v>
      </c>
      <c r="N157" s="264">
        <f t="shared" si="25"/>
        <v>0.12231934775637615</v>
      </c>
      <c r="O157" s="264">
        <f t="shared" si="25"/>
        <v>0.11691489534615554</v>
      </c>
      <c r="P157" s="264">
        <f t="shared" si="25"/>
        <v>0</v>
      </c>
      <c r="Q157" s="264">
        <f t="shared" si="25"/>
        <v>0.30807889046148473</v>
      </c>
      <c r="R157" s="264">
        <f t="shared" si="25"/>
        <v>-9.9415933613222679E-2</v>
      </c>
      <c r="S157" s="264">
        <f t="shared" si="25"/>
        <v>-9.8006444951409505E-2</v>
      </c>
      <c r="T157" s="264">
        <f t="shared" si="25"/>
        <v>-9.9415933613222679E-2</v>
      </c>
      <c r="U157" s="264">
        <f t="shared" si="25"/>
        <v>-9.9415933613222679E-2</v>
      </c>
      <c r="V157" s="264">
        <f t="shared" si="25"/>
        <v>-9.8006444951409505E-2</v>
      </c>
      <c r="W157" s="264">
        <f t="shared" si="25"/>
        <v>-9.8006444951409505E-2</v>
      </c>
      <c r="X157" s="264">
        <f t="shared" si="25"/>
        <v>0</v>
      </c>
      <c r="Y157" s="264">
        <f t="shared" si="25"/>
        <v>0</v>
      </c>
      <c r="Z157" s="256"/>
      <c r="AA157" s="256"/>
    </row>
    <row r="158" spans="3:27" x14ac:dyDescent="0.25">
      <c r="E158" s="27"/>
      <c r="F158" s="181" t="s">
        <v>197</v>
      </c>
      <c r="G158" t="s">
        <v>270</v>
      </c>
      <c r="H158" s="256"/>
      <c r="I158" s="256"/>
      <c r="J158" s="264">
        <f t="shared" ref="J158:Y158" si="26">hundred * $H24 * J61 / $H49 * J87 * (1 - J73) / hours_in_year</f>
        <v>0</v>
      </c>
      <c r="K158" s="264">
        <f t="shared" si="26"/>
        <v>0</v>
      </c>
      <c r="L158" s="264">
        <f t="shared" si="26"/>
        <v>0</v>
      </c>
      <c r="M158" s="264">
        <f t="shared" si="26"/>
        <v>0</v>
      </c>
      <c r="N158" s="264">
        <f t="shared" si="26"/>
        <v>0</v>
      </c>
      <c r="O158" s="264">
        <f t="shared" si="26"/>
        <v>0</v>
      </c>
      <c r="P158" s="264">
        <f t="shared" si="26"/>
        <v>0</v>
      </c>
      <c r="Q158" s="264">
        <f t="shared" si="26"/>
        <v>0</v>
      </c>
      <c r="R158" s="264">
        <f t="shared" si="26"/>
        <v>0</v>
      </c>
      <c r="S158" s="264">
        <f t="shared" si="26"/>
        <v>0</v>
      </c>
      <c r="T158" s="264">
        <f t="shared" si="26"/>
        <v>0</v>
      </c>
      <c r="U158" s="264">
        <f t="shared" si="26"/>
        <v>0</v>
      </c>
      <c r="V158" s="264">
        <f t="shared" si="26"/>
        <v>0</v>
      </c>
      <c r="W158" s="264">
        <f t="shared" si="26"/>
        <v>0</v>
      </c>
      <c r="X158" s="264">
        <f t="shared" si="26"/>
        <v>0</v>
      </c>
      <c r="Y158" s="264">
        <f t="shared" si="26"/>
        <v>0</v>
      </c>
      <c r="Z158" s="256"/>
      <c r="AA158" s="256"/>
    </row>
    <row r="159" spans="3:27" x14ac:dyDescent="0.25">
      <c r="E159" s="27"/>
      <c r="F159" s="181" t="s">
        <v>198</v>
      </c>
      <c r="G159" t="s">
        <v>270</v>
      </c>
      <c r="H159" s="256"/>
      <c r="I159" s="256"/>
      <c r="J159" s="264">
        <f t="shared" ref="J159:Y159" si="27">hundred * $H25 * J62 / $H50 * J88 * (1 - J74) / hours_in_year</f>
        <v>0.6675927634417097</v>
      </c>
      <c r="K159" s="264">
        <f t="shared" si="27"/>
        <v>0.6675927634417097</v>
      </c>
      <c r="L159" s="264">
        <f t="shared" si="27"/>
        <v>0.7156602265148917</v>
      </c>
      <c r="M159" s="264">
        <f t="shared" si="27"/>
        <v>0.7156602265148917</v>
      </c>
      <c r="N159" s="264">
        <f t="shared" si="27"/>
        <v>0.56328166307060334</v>
      </c>
      <c r="O159" s="264">
        <f t="shared" si="27"/>
        <v>0.53839411259348502</v>
      </c>
      <c r="P159" s="264">
        <f t="shared" si="27"/>
        <v>0</v>
      </c>
      <c r="Q159" s="264">
        <f t="shared" si="27"/>
        <v>1.4187059770930266</v>
      </c>
      <c r="R159" s="264">
        <f t="shared" si="27"/>
        <v>-0.45781124121840888</v>
      </c>
      <c r="S159" s="264">
        <f t="shared" si="27"/>
        <v>-0.45132053363969793</v>
      </c>
      <c r="T159" s="264">
        <f t="shared" si="27"/>
        <v>-0.45781124121840888</v>
      </c>
      <c r="U159" s="264">
        <f t="shared" si="27"/>
        <v>-0.45781124121840888</v>
      </c>
      <c r="V159" s="264">
        <f t="shared" si="27"/>
        <v>-0.45132053363969793</v>
      </c>
      <c r="W159" s="264">
        <f t="shared" si="27"/>
        <v>-0.45132053363969793</v>
      </c>
      <c r="X159" s="264">
        <f t="shared" si="27"/>
        <v>0</v>
      </c>
      <c r="Y159" s="264">
        <f t="shared" si="27"/>
        <v>0</v>
      </c>
      <c r="Z159" s="256"/>
      <c r="AA159" s="256"/>
    </row>
    <row r="160" spans="3:27" x14ac:dyDescent="0.25">
      <c r="E160" s="27"/>
      <c r="F160" s="181" t="s">
        <v>199</v>
      </c>
      <c r="G160" t="s">
        <v>270</v>
      </c>
      <c r="H160" s="256"/>
      <c r="I160" s="256"/>
      <c r="J160" s="264">
        <f t="shared" ref="J160:Y160" si="28">hundred * $H26 * J63 / $H51 * J89 * (1 - J75) / hours_in_year</f>
        <v>7.2079818597366105E-2</v>
      </c>
      <c r="K160" s="264">
        <f t="shared" si="28"/>
        <v>7.2079818597366105E-2</v>
      </c>
      <c r="L160" s="264">
        <f t="shared" si="28"/>
        <v>7.7269650196032089E-2</v>
      </c>
      <c r="M160" s="264">
        <f t="shared" si="28"/>
        <v>7.7269650196032089E-2</v>
      </c>
      <c r="N160" s="264">
        <f t="shared" si="28"/>
        <v>6.0817375976390212E-2</v>
      </c>
      <c r="O160" s="264">
        <f t="shared" si="28"/>
        <v>5.8130273566119516E-2</v>
      </c>
      <c r="P160" s="264">
        <f t="shared" si="28"/>
        <v>0</v>
      </c>
      <c r="Q160" s="264">
        <f t="shared" si="28"/>
        <v>0.15317731867654244</v>
      </c>
      <c r="R160" s="264">
        <f t="shared" si="28"/>
        <v>-4.9429761713915284E-2</v>
      </c>
      <c r="S160" s="264">
        <f t="shared" si="28"/>
        <v>0</v>
      </c>
      <c r="T160" s="264">
        <f t="shared" si="28"/>
        <v>-4.9429761713915284E-2</v>
      </c>
      <c r="U160" s="264">
        <f t="shared" si="28"/>
        <v>-4.9429761713915284E-2</v>
      </c>
      <c r="V160" s="264">
        <f t="shared" si="28"/>
        <v>0</v>
      </c>
      <c r="W160" s="264">
        <f t="shared" si="28"/>
        <v>0</v>
      </c>
      <c r="X160" s="264">
        <f t="shared" si="28"/>
        <v>0</v>
      </c>
      <c r="Y160" s="264">
        <f t="shared" si="28"/>
        <v>0</v>
      </c>
      <c r="Z160" s="256"/>
      <c r="AA160" s="256"/>
    </row>
    <row r="161" spans="3:27" x14ac:dyDescent="0.25">
      <c r="E161" s="27"/>
      <c r="F161" s="182" t="s">
        <v>200</v>
      </c>
      <c r="G161" s="28" t="s">
        <v>270</v>
      </c>
      <c r="H161" s="258"/>
      <c r="I161" s="258"/>
      <c r="J161" s="265">
        <f t="shared" ref="J161:Y161" si="29">hundred * $H27 * J64 / $H52 * J90 * (1 - J76) / hours_in_year</f>
        <v>0.17787894080557329</v>
      </c>
      <c r="K161" s="265">
        <f t="shared" si="29"/>
        <v>0.17787894080557329</v>
      </c>
      <c r="L161" s="265">
        <f t="shared" si="29"/>
        <v>0.19068643346710082</v>
      </c>
      <c r="M161" s="265">
        <f t="shared" si="29"/>
        <v>0.19068643346710082</v>
      </c>
      <c r="N161" s="265">
        <f t="shared" si="29"/>
        <v>0.15008542795708307</v>
      </c>
      <c r="O161" s="265">
        <f t="shared" si="29"/>
        <v>0</v>
      </c>
      <c r="P161" s="265">
        <f t="shared" si="29"/>
        <v>0</v>
      </c>
      <c r="Q161" s="265">
        <f t="shared" si="29"/>
        <v>0.37801176156978805</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190</v>
      </c>
      <c r="G164" s="19" t="s">
        <v>270</v>
      </c>
      <c r="H164" s="255"/>
      <c r="I164" s="255"/>
      <c r="J164" s="263">
        <f t="shared" ref="J164:Y164" si="30">hundred * $H30 * J55 / $H43 * J81 / hours_in_year</f>
        <v>0.99751119697271196</v>
      </c>
      <c r="K164" s="263">
        <f t="shared" si="30"/>
        <v>0.99751119697271196</v>
      </c>
      <c r="L164" s="263">
        <f t="shared" si="30"/>
        <v>1.0693331747580623</v>
      </c>
      <c r="M164" s="263">
        <f t="shared" si="30"/>
        <v>1.0693331747580623</v>
      </c>
      <c r="N164" s="263">
        <f t="shared" si="30"/>
        <v>0.8416504742586195</v>
      </c>
      <c r="O164" s="263">
        <f t="shared" si="30"/>
        <v>0.80446371666382011</v>
      </c>
      <c r="P164" s="263">
        <f t="shared" si="30"/>
        <v>0.70947931990175273</v>
      </c>
      <c r="Q164" s="263">
        <f t="shared" si="30"/>
        <v>2.4288328971656692</v>
      </c>
      <c r="R164" s="263">
        <f t="shared" si="30"/>
        <v>-0.68405750365089435</v>
      </c>
      <c r="S164" s="263">
        <f t="shared" si="30"/>
        <v>-0.6743591458486603</v>
      </c>
      <c r="T164" s="263">
        <f t="shared" si="30"/>
        <v>-0.68405750365089435</v>
      </c>
      <c r="U164" s="263">
        <f t="shared" si="30"/>
        <v>-0.68405750365089435</v>
      </c>
      <c r="V164" s="263">
        <f t="shared" si="30"/>
        <v>-0.6743591458486603</v>
      </c>
      <c r="W164" s="263">
        <f t="shared" si="30"/>
        <v>-0.6743591458486603</v>
      </c>
      <c r="X164" s="263">
        <f t="shared" si="30"/>
        <v>-0.66660045960687331</v>
      </c>
      <c r="Y164" s="263">
        <f t="shared" si="30"/>
        <v>-0.66660045960687331</v>
      </c>
      <c r="Z164" s="256"/>
      <c r="AA164" s="256"/>
    </row>
    <row r="165" spans="3:27" x14ac:dyDescent="0.25">
      <c r="D165" s="27"/>
      <c r="E165" s="27"/>
      <c r="F165" s="181" t="s">
        <v>192</v>
      </c>
      <c r="G165" t="s">
        <v>270</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193</v>
      </c>
      <c r="G166" t="s">
        <v>270</v>
      </c>
      <c r="H166" s="256"/>
      <c r="I166" s="256"/>
      <c r="J166" s="264">
        <f t="shared" ref="J166:Y166" si="32">hundred * $H32 * J57 / $H45 * J83 / hours_in_year</f>
        <v>2.6044011836027741</v>
      </c>
      <c r="K166" s="264">
        <f t="shared" si="32"/>
        <v>2.6044011836027741</v>
      </c>
      <c r="L166" s="264">
        <f t="shared" si="32"/>
        <v>2.7919211277603293</v>
      </c>
      <c r="M166" s="264">
        <f t="shared" si="32"/>
        <v>2.7919211277603293</v>
      </c>
      <c r="N166" s="264">
        <f t="shared" si="32"/>
        <v>2.1974645477578023</v>
      </c>
      <c r="O166" s="264">
        <f t="shared" si="32"/>
        <v>2.1003736721985438</v>
      </c>
      <c r="P166" s="264">
        <f t="shared" si="32"/>
        <v>1.8523789869241576</v>
      </c>
      <c r="Q166" s="264">
        <f t="shared" si="32"/>
        <v>5.9098642415019764</v>
      </c>
      <c r="R166" s="264">
        <f t="shared" si="32"/>
        <v>-1.7860051872775966</v>
      </c>
      <c r="S166" s="264">
        <f t="shared" si="32"/>
        <v>-1.7606837526753618</v>
      </c>
      <c r="T166" s="264">
        <f t="shared" si="32"/>
        <v>-1.7860051872775966</v>
      </c>
      <c r="U166" s="264">
        <f t="shared" si="32"/>
        <v>-1.7860051872775966</v>
      </c>
      <c r="V166" s="264">
        <f t="shared" si="32"/>
        <v>-1.7606837526753618</v>
      </c>
      <c r="W166" s="264">
        <f t="shared" si="32"/>
        <v>-1.7606837526753618</v>
      </c>
      <c r="X166" s="264">
        <f t="shared" si="32"/>
        <v>-1.7404266049935746</v>
      </c>
      <c r="Y166" s="264">
        <f t="shared" si="32"/>
        <v>-1.7404266049935746</v>
      </c>
      <c r="Z166" s="256"/>
      <c r="AA166" s="256"/>
    </row>
    <row r="167" spans="3:27" x14ac:dyDescent="0.25">
      <c r="D167" s="27"/>
      <c r="E167" s="27"/>
      <c r="F167" s="181" t="s">
        <v>194</v>
      </c>
      <c r="G167" t="s">
        <v>270</v>
      </c>
      <c r="H167" s="256"/>
      <c r="I167" s="256"/>
      <c r="J167" s="264">
        <f t="shared" ref="J167:Y167" si="33">hundred * $H33 * J58 / $H46 * J84 / hours_in_year</f>
        <v>0.37305827530295571</v>
      </c>
      <c r="K167" s="264">
        <f t="shared" si="33"/>
        <v>0.37305827530295571</v>
      </c>
      <c r="L167" s="264">
        <f t="shared" si="33"/>
        <v>0.39991890929159163</v>
      </c>
      <c r="M167" s="264">
        <f t="shared" si="33"/>
        <v>0.39991890929159163</v>
      </c>
      <c r="N167" s="264">
        <f t="shared" si="33"/>
        <v>0.31476807006049551</v>
      </c>
      <c r="O167" s="264">
        <f t="shared" si="33"/>
        <v>0.30086062952797138</v>
      </c>
      <c r="P167" s="264">
        <f t="shared" si="33"/>
        <v>0.26533750422944113</v>
      </c>
      <c r="Q167" s="264">
        <f t="shared" si="33"/>
        <v>0.84653768977306876</v>
      </c>
      <c r="R167" s="264">
        <f t="shared" si="33"/>
        <v>-0.25583002305590069</v>
      </c>
      <c r="S167" s="264">
        <f t="shared" si="33"/>
        <v>-0.25220294333393606</v>
      </c>
      <c r="T167" s="264">
        <f t="shared" si="33"/>
        <v>-0.25583002305590069</v>
      </c>
      <c r="U167" s="264">
        <f t="shared" si="33"/>
        <v>-0.25583002305590069</v>
      </c>
      <c r="V167" s="264">
        <f t="shared" si="33"/>
        <v>-0.25220294333393606</v>
      </c>
      <c r="W167" s="264">
        <f t="shared" si="33"/>
        <v>-0.25220294333393606</v>
      </c>
      <c r="X167" s="264">
        <f t="shared" si="33"/>
        <v>-0.24930127955636441</v>
      </c>
      <c r="Y167" s="264">
        <f t="shared" si="33"/>
        <v>-0.24930127955636441</v>
      </c>
      <c r="Z167" s="256"/>
      <c r="AA167" s="256"/>
    </row>
    <row r="168" spans="3:27" x14ac:dyDescent="0.25">
      <c r="D168" s="27"/>
      <c r="E168" s="27"/>
      <c r="F168" s="181" t="s">
        <v>195</v>
      </c>
      <c r="G168" t="s">
        <v>270</v>
      </c>
      <c r="H168" s="256"/>
      <c r="I168" s="256"/>
      <c r="J168" s="264">
        <f t="shared" ref="J168:Y168" si="34">hundred * $H34 * J59 / $H47 * J85 / hours_in_year</f>
        <v>0.87389673498849474</v>
      </c>
      <c r="K168" s="264">
        <f t="shared" si="34"/>
        <v>0.87389673498849474</v>
      </c>
      <c r="L168" s="264">
        <f t="shared" si="34"/>
        <v>0.93681832632252271</v>
      </c>
      <c r="M168" s="264">
        <f t="shared" si="34"/>
        <v>0.93681832632252271</v>
      </c>
      <c r="N168" s="264">
        <f t="shared" si="34"/>
        <v>0.73735072216562458</v>
      </c>
      <c r="O168" s="264">
        <f t="shared" si="34"/>
        <v>0.70477225473034344</v>
      </c>
      <c r="P168" s="264">
        <f t="shared" si="34"/>
        <v>0.62155859812464898</v>
      </c>
      <c r="Q168" s="264">
        <f t="shared" si="34"/>
        <v>1.8571239671601241</v>
      </c>
      <c r="R168" s="264">
        <f t="shared" si="34"/>
        <v>-0.59928712659979322</v>
      </c>
      <c r="S168" s="264">
        <f t="shared" si="34"/>
        <v>-0.59079061724346338</v>
      </c>
      <c r="T168" s="264">
        <f t="shared" si="34"/>
        <v>-0.59928712659979322</v>
      </c>
      <c r="U168" s="264">
        <f t="shared" si="34"/>
        <v>-0.59928712659979322</v>
      </c>
      <c r="V168" s="264">
        <f t="shared" si="34"/>
        <v>-0.59079061724346338</v>
      </c>
      <c r="W168" s="264">
        <f t="shared" si="34"/>
        <v>-0.59079061724346338</v>
      </c>
      <c r="X168" s="264">
        <f t="shared" si="34"/>
        <v>-0.58399340975839953</v>
      </c>
      <c r="Y168" s="264">
        <f t="shared" si="34"/>
        <v>-0.58399340975839953</v>
      </c>
      <c r="Z168" s="256"/>
      <c r="AA168" s="256"/>
    </row>
    <row r="169" spans="3:27" x14ac:dyDescent="0.25">
      <c r="D169" s="27"/>
      <c r="E169" s="27"/>
      <c r="F169" s="181" t="s">
        <v>196</v>
      </c>
      <c r="G169" t="s">
        <v>270</v>
      </c>
      <c r="H169" s="256"/>
      <c r="I169" s="256"/>
      <c r="J169" s="264">
        <f t="shared" ref="J169:Y169" si="35">hundred * $H35 * J60 / $H48 * J86 / hours_in_year</f>
        <v>0.69121662306266674</v>
      </c>
      <c r="K169" s="264">
        <f t="shared" si="35"/>
        <v>0.69121662306266674</v>
      </c>
      <c r="L169" s="264">
        <f t="shared" si="35"/>
        <v>0.74098503177540609</v>
      </c>
      <c r="M169" s="264">
        <f t="shared" si="35"/>
        <v>0.74098503177540609</v>
      </c>
      <c r="N169" s="264">
        <f t="shared" si="35"/>
        <v>0.58321430414184072</v>
      </c>
      <c r="O169" s="264">
        <f t="shared" si="35"/>
        <v>0.55744606706807642</v>
      </c>
      <c r="P169" s="264">
        <f t="shared" si="35"/>
        <v>0.4916274635548803</v>
      </c>
      <c r="Q169" s="264">
        <f t="shared" si="35"/>
        <v>1.4689092037928988</v>
      </c>
      <c r="R169" s="264">
        <f t="shared" si="35"/>
        <v>-0.47401163925700163</v>
      </c>
      <c r="S169" s="264">
        <f t="shared" si="35"/>
        <v>-0.46729124739607997</v>
      </c>
      <c r="T169" s="264">
        <f t="shared" si="35"/>
        <v>-0.47401163925700163</v>
      </c>
      <c r="U169" s="264">
        <f t="shared" si="35"/>
        <v>-0.47401163925700163</v>
      </c>
      <c r="V169" s="264">
        <f t="shared" si="35"/>
        <v>-0.46729124739607997</v>
      </c>
      <c r="W169" s="264">
        <f t="shared" si="35"/>
        <v>-0.46729124739607997</v>
      </c>
      <c r="X169" s="264">
        <f t="shared" si="35"/>
        <v>-0.46191493390734273</v>
      </c>
      <c r="Y169" s="264">
        <f t="shared" si="35"/>
        <v>-0.46191493390734273</v>
      </c>
      <c r="Z169" s="256"/>
      <c r="AA169" s="256"/>
    </row>
    <row r="170" spans="3:27" x14ac:dyDescent="0.25">
      <c r="D170" s="27"/>
      <c r="E170" s="27"/>
      <c r="F170" s="181" t="s">
        <v>197</v>
      </c>
      <c r="G170" t="s">
        <v>270</v>
      </c>
      <c r="H170" s="256"/>
      <c r="I170" s="256"/>
      <c r="J170" s="264">
        <f t="shared" ref="J170:Y170" si="36">hundred * $H36 * J61 / $H49 * J87 / hours_in_year</f>
        <v>0</v>
      </c>
      <c r="K170" s="264">
        <f t="shared" si="36"/>
        <v>0</v>
      </c>
      <c r="L170" s="264">
        <f t="shared" si="36"/>
        <v>0</v>
      </c>
      <c r="M170" s="264">
        <f t="shared" si="36"/>
        <v>0</v>
      </c>
      <c r="N170" s="264">
        <f t="shared" si="36"/>
        <v>0</v>
      </c>
      <c r="O170" s="264">
        <f t="shared" si="36"/>
        <v>0</v>
      </c>
      <c r="P170" s="264">
        <f t="shared" si="36"/>
        <v>0</v>
      </c>
      <c r="Q170" s="264">
        <f t="shared" si="36"/>
        <v>0</v>
      </c>
      <c r="R170" s="264">
        <f t="shared" si="36"/>
        <v>0</v>
      </c>
      <c r="S170" s="264">
        <f t="shared" si="36"/>
        <v>0</v>
      </c>
      <c r="T170" s="264">
        <f t="shared" si="36"/>
        <v>0</v>
      </c>
      <c r="U170" s="264">
        <f t="shared" si="36"/>
        <v>0</v>
      </c>
      <c r="V170" s="264">
        <f t="shared" si="36"/>
        <v>0</v>
      </c>
      <c r="W170" s="264">
        <f t="shared" si="36"/>
        <v>0</v>
      </c>
      <c r="X170" s="264">
        <f t="shared" si="36"/>
        <v>0</v>
      </c>
      <c r="Y170" s="264">
        <f t="shared" si="36"/>
        <v>0</v>
      </c>
      <c r="Z170" s="256"/>
      <c r="AA170" s="256"/>
    </row>
    <row r="171" spans="3:27" x14ac:dyDescent="0.25">
      <c r="D171" s="27"/>
      <c r="E171" s="27"/>
      <c r="F171" s="181" t="s">
        <v>198</v>
      </c>
      <c r="G171" t="s">
        <v>270</v>
      </c>
      <c r="H171" s="256"/>
      <c r="I171" s="256"/>
      <c r="J171" s="264">
        <f t="shared" ref="J171:Y171" si="37">hundred * $H37 * J62 / $H50 * J88 / hours_in_year</f>
        <v>3.1830585767695077</v>
      </c>
      <c r="K171" s="264">
        <f t="shared" si="37"/>
        <v>3.1830585767695077</v>
      </c>
      <c r="L171" s="264">
        <f t="shared" si="37"/>
        <v>3.4122425328834987</v>
      </c>
      <c r="M171" s="264">
        <f t="shared" si="37"/>
        <v>3.4122425328834987</v>
      </c>
      <c r="N171" s="264">
        <f t="shared" si="37"/>
        <v>2.6857069563343559</v>
      </c>
      <c r="O171" s="264">
        <f t="shared" si="37"/>
        <v>2.5670439999047927</v>
      </c>
      <c r="P171" s="264">
        <f t="shared" si="37"/>
        <v>2.2639487567733538</v>
      </c>
      <c r="Q171" s="264">
        <f t="shared" si="37"/>
        <v>6.7643396926881421</v>
      </c>
      <c r="R171" s="264">
        <f t="shared" si="37"/>
        <v>-2.1828277322676337</v>
      </c>
      <c r="S171" s="264">
        <f t="shared" si="37"/>
        <v>-2.1518802691447472</v>
      </c>
      <c r="T171" s="264">
        <f t="shared" si="37"/>
        <v>-2.1828277322676337</v>
      </c>
      <c r="U171" s="264">
        <f t="shared" si="37"/>
        <v>-2.1828277322676337</v>
      </c>
      <c r="V171" s="264">
        <f t="shared" si="37"/>
        <v>-2.1518802691447472</v>
      </c>
      <c r="W171" s="264">
        <f t="shared" si="37"/>
        <v>-2.1518802691447472</v>
      </c>
      <c r="X171" s="264">
        <f t="shared" si="37"/>
        <v>0</v>
      </c>
      <c r="Y171" s="264">
        <f t="shared" si="37"/>
        <v>0</v>
      </c>
      <c r="Z171" s="256"/>
      <c r="AA171" s="256"/>
    </row>
    <row r="172" spans="3:27" x14ac:dyDescent="0.25">
      <c r="D172" s="27"/>
      <c r="E172" s="27"/>
      <c r="F172" s="181" t="s">
        <v>199</v>
      </c>
      <c r="G172" t="s">
        <v>270</v>
      </c>
      <c r="H172" s="256"/>
      <c r="I172" s="256"/>
      <c r="J172" s="264">
        <f t="shared" ref="J172:Y172" si="38">hundred * $H38 * J63 / $H51 * J89 / hours_in_year</f>
        <v>1.3059612535925915</v>
      </c>
      <c r="K172" s="264">
        <f t="shared" si="38"/>
        <v>1.3059612535925915</v>
      </c>
      <c r="L172" s="264">
        <f t="shared" si="38"/>
        <v>1.3999919977373325</v>
      </c>
      <c r="M172" s="264">
        <f t="shared" si="38"/>
        <v>1.3999919977373325</v>
      </c>
      <c r="N172" s="264">
        <f t="shared" si="38"/>
        <v>1.1019053337800826</v>
      </c>
      <c r="O172" s="264">
        <f t="shared" si="38"/>
        <v>1.0532197002624506</v>
      </c>
      <c r="P172" s="264">
        <f t="shared" si="38"/>
        <v>0</v>
      </c>
      <c r="Q172" s="264">
        <f t="shared" si="38"/>
        <v>2.7753072498448144</v>
      </c>
      <c r="R172" s="264">
        <f t="shared" si="38"/>
        <v>-0.89558152099798372</v>
      </c>
      <c r="S172" s="264">
        <f t="shared" si="38"/>
        <v>0</v>
      </c>
      <c r="T172" s="264">
        <f t="shared" si="38"/>
        <v>-0.89558152099798372</v>
      </c>
      <c r="U172" s="264">
        <f t="shared" si="38"/>
        <v>-0.89558152099798372</v>
      </c>
      <c r="V172" s="264">
        <f t="shared" si="38"/>
        <v>0</v>
      </c>
      <c r="W172" s="264">
        <f t="shared" si="38"/>
        <v>0</v>
      </c>
      <c r="X172" s="264">
        <f t="shared" si="38"/>
        <v>0</v>
      </c>
      <c r="Y172" s="264">
        <f t="shared" si="38"/>
        <v>0</v>
      </c>
      <c r="Z172" s="256"/>
      <c r="AA172" s="256"/>
    </row>
    <row r="173" spans="3:27" x14ac:dyDescent="0.25">
      <c r="D173" s="27"/>
      <c r="E173" s="27"/>
      <c r="F173" s="182" t="s">
        <v>200</v>
      </c>
      <c r="G173" s="28" t="s">
        <v>270</v>
      </c>
      <c r="H173" s="258"/>
      <c r="I173" s="258"/>
      <c r="J173" s="265">
        <f t="shared" ref="J173:Y173" si="39">hundred * $H39 * J64 / $H52 * J90 / hours_in_year</f>
        <v>3.2228577851978337</v>
      </c>
      <c r="K173" s="265">
        <f t="shared" si="39"/>
        <v>3.2228577851978337</v>
      </c>
      <c r="L173" s="265">
        <f t="shared" si="39"/>
        <v>3.4549073310638887</v>
      </c>
      <c r="M173" s="265">
        <f t="shared" si="39"/>
        <v>3.4549073310638887</v>
      </c>
      <c r="N173" s="265">
        <f t="shared" si="39"/>
        <v>2.719287554477491</v>
      </c>
      <c r="O173" s="265">
        <f t="shared" si="39"/>
        <v>0</v>
      </c>
      <c r="P173" s="265">
        <f t="shared" si="39"/>
        <v>0</v>
      </c>
      <c r="Q173" s="265">
        <f t="shared" si="39"/>
        <v>6.848917264484677</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155</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190</v>
      </c>
      <c r="G181" s="19" t="s">
        <v>270</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192</v>
      </c>
      <c r="G182" t="s">
        <v>270</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193</v>
      </c>
      <c r="G183" t="s">
        <v>270</v>
      </c>
      <c r="H183" s="256"/>
      <c r="I183" s="256"/>
      <c r="J183" s="264">
        <f t="shared" ref="J183:Y183" si="42">hundred * $H20 * J57 / $H45 * J95 * (1 - J69) / hours_in_year</f>
        <v>6.3517458469508695E-2</v>
      </c>
      <c r="K183" s="264">
        <f t="shared" si="42"/>
        <v>6.3517458469508695E-2</v>
      </c>
      <c r="L183" s="264">
        <f t="shared" si="42"/>
        <v>6.8090790082250247E-2</v>
      </c>
      <c r="M183" s="264">
        <f t="shared" si="42"/>
        <v>6.8090790082250247E-2</v>
      </c>
      <c r="N183" s="264">
        <f t="shared" si="42"/>
        <v>5.3592881169459795E-2</v>
      </c>
      <c r="O183" s="264">
        <f t="shared" si="42"/>
        <v>5.1224979597716366E-2</v>
      </c>
      <c r="P183" s="264">
        <f t="shared" si="42"/>
        <v>4.5176759292124141E-2</v>
      </c>
      <c r="Q183" s="264">
        <f t="shared" si="42"/>
        <v>7.4515203183281836E-2</v>
      </c>
      <c r="R183" s="264">
        <f t="shared" si="42"/>
        <v>-4.35580013645602E-2</v>
      </c>
      <c r="S183" s="264">
        <f t="shared" si="42"/>
        <v>-4.2940449360336752E-2</v>
      </c>
      <c r="T183" s="264">
        <f t="shared" si="42"/>
        <v>-4.35580013645602E-2</v>
      </c>
      <c r="U183" s="264">
        <f t="shared" si="42"/>
        <v>-4.35580013645602E-2</v>
      </c>
      <c r="V183" s="264">
        <f t="shared" si="42"/>
        <v>-4.2940449360336752E-2</v>
      </c>
      <c r="W183" s="264">
        <f t="shared" si="42"/>
        <v>-4.2940449360336752E-2</v>
      </c>
      <c r="X183" s="264">
        <f t="shared" si="42"/>
        <v>-4.2446407756957988E-2</v>
      </c>
      <c r="Y183" s="264">
        <f t="shared" si="42"/>
        <v>-4.2446407756957988E-2</v>
      </c>
      <c r="Z183" s="256"/>
      <c r="AA183" s="256"/>
    </row>
    <row r="184" spans="4:27" x14ac:dyDescent="0.25">
      <c r="E184" s="27"/>
      <c r="F184" s="181" t="s">
        <v>194</v>
      </c>
      <c r="G184" t="s">
        <v>270</v>
      </c>
      <c r="H184" s="256"/>
      <c r="I184" s="256"/>
      <c r="J184" s="264">
        <f t="shared" ref="J184:Y184" si="43">hundred * $H21 * J58 / $H46 * J96 * (1 - J70) / hours_in_year</f>
        <v>9.0983346411641474E-3</v>
      </c>
      <c r="K184" s="264">
        <f t="shared" si="43"/>
        <v>9.0983346411641474E-3</v>
      </c>
      <c r="L184" s="264">
        <f t="shared" si="43"/>
        <v>9.7534254215629283E-3</v>
      </c>
      <c r="M184" s="264">
        <f t="shared" si="43"/>
        <v>9.7534254215629283E-3</v>
      </c>
      <c r="N184" s="264">
        <f t="shared" si="43"/>
        <v>7.6767235184317575E-3</v>
      </c>
      <c r="O184" s="264">
        <f t="shared" si="43"/>
        <v>7.3375417971196181E-3</v>
      </c>
      <c r="P184" s="264">
        <f t="shared" si="43"/>
        <v>2.135491307469838E-3</v>
      </c>
      <c r="Q184" s="264">
        <f t="shared" si="43"/>
        <v>1.0673667850568867E-2</v>
      </c>
      <c r="R184" s="264">
        <f t="shared" si="43"/>
        <v>-6.2393125018580216E-3</v>
      </c>
      <c r="S184" s="264">
        <f t="shared" si="43"/>
        <v>-6.1508534399224166E-3</v>
      </c>
      <c r="T184" s="264">
        <f t="shared" si="43"/>
        <v>-6.2393125018580216E-3</v>
      </c>
      <c r="U184" s="264">
        <f t="shared" si="43"/>
        <v>-6.2393125018580216E-3</v>
      </c>
      <c r="V184" s="264">
        <f t="shared" si="43"/>
        <v>-6.1508534399224166E-3</v>
      </c>
      <c r="W184" s="264">
        <f t="shared" si="43"/>
        <v>-6.1508534399224166E-3</v>
      </c>
      <c r="X184" s="264">
        <f t="shared" si="43"/>
        <v>-2.0064284428233975E-3</v>
      </c>
      <c r="Y184" s="264">
        <f t="shared" si="43"/>
        <v>-2.0064284428233975E-3</v>
      </c>
      <c r="Z184" s="256"/>
      <c r="AA184" s="256"/>
    </row>
    <row r="185" spans="4:27" x14ac:dyDescent="0.25">
      <c r="E185" s="27"/>
      <c r="F185" s="181" t="s">
        <v>195</v>
      </c>
      <c r="G185" t="s">
        <v>270</v>
      </c>
      <c r="H185" s="256"/>
      <c r="I185" s="256"/>
      <c r="J185" s="264">
        <f t="shared" ref="J185:Y185" si="44">hundred * $H22 * J59 / $H47 * J97 * (1 - J71) / hours_in_year</f>
        <v>7.4604460218504615E-2</v>
      </c>
      <c r="K185" s="264">
        <f t="shared" si="44"/>
        <v>7.4604460218504615E-2</v>
      </c>
      <c r="L185" s="264">
        <f t="shared" si="44"/>
        <v>7.9976068979151022E-2</v>
      </c>
      <c r="M185" s="264">
        <f t="shared" si="44"/>
        <v>7.9976068979151022E-2</v>
      </c>
      <c r="N185" s="264">
        <f t="shared" si="44"/>
        <v>6.2947543361190406E-2</v>
      </c>
      <c r="O185" s="264">
        <f t="shared" si="44"/>
        <v>6.0166323475081926E-2</v>
      </c>
      <c r="P185" s="264">
        <f t="shared" si="44"/>
        <v>1.7510586561005084E-2</v>
      </c>
      <c r="Q185" s="264">
        <f t="shared" si="44"/>
        <v>6.6247543656495059E-2</v>
      </c>
      <c r="R185" s="264">
        <f t="shared" si="44"/>
        <v>-5.1161070645795274E-2</v>
      </c>
      <c r="S185" s="264">
        <f t="shared" si="44"/>
        <v>-5.0435724653652619E-2</v>
      </c>
      <c r="T185" s="264">
        <f t="shared" si="44"/>
        <v>-5.1161070645795274E-2</v>
      </c>
      <c r="U185" s="264">
        <f t="shared" si="44"/>
        <v>-5.1161070645795274E-2</v>
      </c>
      <c r="V185" s="264">
        <f t="shared" si="44"/>
        <v>-5.0435724653652619E-2</v>
      </c>
      <c r="W185" s="264">
        <f t="shared" si="44"/>
        <v>-5.0435724653652619E-2</v>
      </c>
      <c r="X185" s="264">
        <f t="shared" si="44"/>
        <v>-1.6452297793779699E-2</v>
      </c>
      <c r="Y185" s="264">
        <f t="shared" si="44"/>
        <v>-1.6452297793779699E-2</v>
      </c>
      <c r="Z185" s="256"/>
      <c r="AA185" s="256"/>
    </row>
    <row r="186" spans="4:27" x14ac:dyDescent="0.25">
      <c r="E186" s="27"/>
      <c r="F186" s="181" t="s">
        <v>196</v>
      </c>
      <c r="G186" t="s">
        <v>270</v>
      </c>
      <c r="H186" s="256"/>
      <c r="I186" s="256"/>
      <c r="J186" s="264">
        <f t="shared" ref="J186:Y186" si="45">hundred * $H23 * J60 / $H48 * J98 * (1 - J72) / hours_in_year</f>
        <v>1.1211725354577597E-2</v>
      </c>
      <c r="K186" s="264">
        <f t="shared" si="45"/>
        <v>1.1211725354577597E-2</v>
      </c>
      <c r="L186" s="264">
        <f t="shared" si="45"/>
        <v>1.2018982748575501E-2</v>
      </c>
      <c r="M186" s="264">
        <f t="shared" si="45"/>
        <v>1.2018982748575501E-2</v>
      </c>
      <c r="N186" s="264">
        <f t="shared" si="45"/>
        <v>9.4598977841807274E-3</v>
      </c>
      <c r="O186" s="264">
        <f t="shared" si="45"/>
        <v>9.0419298312941314E-3</v>
      </c>
      <c r="P186" s="264">
        <f t="shared" si="45"/>
        <v>0</v>
      </c>
      <c r="Q186" s="264">
        <f t="shared" si="45"/>
        <v>9.955829218743991E-3</v>
      </c>
      <c r="R186" s="264">
        <f t="shared" si="45"/>
        <v>-7.6886002692976244E-3</v>
      </c>
      <c r="S186" s="264">
        <f t="shared" si="45"/>
        <v>-7.5795936492225142E-3</v>
      </c>
      <c r="T186" s="264">
        <f t="shared" si="45"/>
        <v>-7.6886002692976244E-3</v>
      </c>
      <c r="U186" s="264">
        <f t="shared" si="45"/>
        <v>-7.6886002692976244E-3</v>
      </c>
      <c r="V186" s="264">
        <f t="shared" si="45"/>
        <v>-7.5795936492225142E-3</v>
      </c>
      <c r="W186" s="264">
        <f t="shared" si="45"/>
        <v>-7.5795936492225142E-3</v>
      </c>
      <c r="X186" s="264">
        <f t="shared" si="45"/>
        <v>0</v>
      </c>
      <c r="Y186" s="264">
        <f t="shared" si="45"/>
        <v>0</v>
      </c>
      <c r="Z186" s="256"/>
      <c r="AA186" s="256"/>
    </row>
    <row r="187" spans="4:27" x14ac:dyDescent="0.25">
      <c r="E187" s="27"/>
      <c r="F187" s="181" t="s">
        <v>197</v>
      </c>
      <c r="G187" t="s">
        <v>270</v>
      </c>
      <c r="H187" s="256"/>
      <c r="I187" s="256"/>
      <c r="J187" s="264">
        <f t="shared" ref="J187:Y187" si="46">hundred * $H24 * J61 / $H49 * J99 * (1 - J73) / hours_in_year</f>
        <v>0</v>
      </c>
      <c r="K187" s="264">
        <f t="shared" si="46"/>
        <v>0</v>
      </c>
      <c r="L187" s="264">
        <f t="shared" si="46"/>
        <v>0</v>
      </c>
      <c r="M187" s="264">
        <f t="shared" si="46"/>
        <v>0</v>
      </c>
      <c r="N187" s="264">
        <f t="shared" si="46"/>
        <v>0</v>
      </c>
      <c r="O187" s="264">
        <f t="shared" si="46"/>
        <v>0</v>
      </c>
      <c r="P187" s="264">
        <f t="shared" si="46"/>
        <v>0</v>
      </c>
      <c r="Q187" s="264">
        <f t="shared" si="46"/>
        <v>0</v>
      </c>
      <c r="R187" s="264">
        <f t="shared" si="46"/>
        <v>0</v>
      </c>
      <c r="S187" s="264">
        <f t="shared" si="46"/>
        <v>0</v>
      </c>
      <c r="T187" s="264">
        <f t="shared" si="46"/>
        <v>0</v>
      </c>
      <c r="U187" s="264">
        <f t="shared" si="46"/>
        <v>0</v>
      </c>
      <c r="V187" s="264">
        <f t="shared" si="46"/>
        <v>0</v>
      </c>
      <c r="W187" s="264">
        <f t="shared" si="46"/>
        <v>0</v>
      </c>
      <c r="X187" s="264">
        <f t="shared" si="46"/>
        <v>0</v>
      </c>
      <c r="Y187" s="264">
        <f t="shared" si="46"/>
        <v>0</v>
      </c>
      <c r="Z187" s="256"/>
      <c r="AA187" s="256"/>
    </row>
    <row r="188" spans="4:27" x14ac:dyDescent="0.25">
      <c r="E188" s="27"/>
      <c r="F188" s="181" t="s">
        <v>198</v>
      </c>
      <c r="G188" t="s">
        <v>270</v>
      </c>
      <c r="H188" s="256"/>
      <c r="I188" s="256"/>
      <c r="J188" s="264">
        <f t="shared" ref="J188:Y188" si="47">hundred * $H25 * J62 / $H50 * J100 * (1 - J74) / hours_in_year</f>
        <v>5.163009302662111E-2</v>
      </c>
      <c r="K188" s="264">
        <f t="shared" si="47"/>
        <v>5.163009302662111E-2</v>
      </c>
      <c r="L188" s="264">
        <f t="shared" si="47"/>
        <v>5.5347520365449258E-2</v>
      </c>
      <c r="M188" s="264">
        <f t="shared" si="47"/>
        <v>5.5347520365449258E-2</v>
      </c>
      <c r="N188" s="264">
        <f t="shared" si="47"/>
        <v>4.3562911788609271E-2</v>
      </c>
      <c r="O188" s="264">
        <f t="shared" si="47"/>
        <v>4.1638165720791029E-2</v>
      </c>
      <c r="P188" s="264">
        <f t="shared" si="47"/>
        <v>0</v>
      </c>
      <c r="Q188" s="264">
        <f t="shared" si="47"/>
        <v>4.5846680369407838E-2</v>
      </c>
      <c r="R188" s="264">
        <f t="shared" si="47"/>
        <v>-3.5406071286455988E-2</v>
      </c>
      <c r="S188" s="264">
        <f t="shared" si="47"/>
        <v>-3.4904094850447626E-2</v>
      </c>
      <c r="T188" s="264">
        <f t="shared" si="47"/>
        <v>-3.5406071286455988E-2</v>
      </c>
      <c r="U188" s="264">
        <f t="shared" si="47"/>
        <v>-3.5406071286455988E-2</v>
      </c>
      <c r="V188" s="264">
        <f t="shared" si="47"/>
        <v>-3.4904094850447626E-2</v>
      </c>
      <c r="W188" s="264">
        <f t="shared" si="47"/>
        <v>-3.4904094850447626E-2</v>
      </c>
      <c r="X188" s="264">
        <f t="shared" si="47"/>
        <v>0</v>
      </c>
      <c r="Y188" s="264">
        <f t="shared" si="47"/>
        <v>0</v>
      </c>
      <c r="Z188" s="256"/>
      <c r="AA188" s="256"/>
    </row>
    <row r="189" spans="4:27" x14ac:dyDescent="0.25">
      <c r="E189" s="27"/>
      <c r="F189" s="181" t="s">
        <v>199</v>
      </c>
      <c r="G189" t="s">
        <v>270</v>
      </c>
      <c r="H189" s="256"/>
      <c r="I189" s="256"/>
      <c r="J189" s="264">
        <f t="shared" ref="J189:Y189" si="48">hundred * $H26 * J63 / $H51 * J101 * (1 - J75) / hours_in_year</f>
        <v>5.5744878364741655E-3</v>
      </c>
      <c r="K189" s="264">
        <f t="shared" si="48"/>
        <v>5.5744878364741655E-3</v>
      </c>
      <c r="L189" s="264">
        <f t="shared" si="48"/>
        <v>5.9758575080838825E-3</v>
      </c>
      <c r="M189" s="264">
        <f t="shared" si="48"/>
        <v>5.9758575080838825E-3</v>
      </c>
      <c r="N189" s="264">
        <f t="shared" si="48"/>
        <v>4.7034763575147468E-3</v>
      </c>
      <c r="O189" s="264">
        <f t="shared" si="48"/>
        <v>4.4956620206739817E-3</v>
      </c>
      <c r="P189" s="264">
        <f t="shared" si="48"/>
        <v>0</v>
      </c>
      <c r="Q189" s="264">
        <f t="shared" si="48"/>
        <v>4.9500542625442673E-3</v>
      </c>
      <c r="R189" s="264">
        <f t="shared" si="48"/>
        <v>-3.8227843909155717E-3</v>
      </c>
      <c r="S189" s="264">
        <f t="shared" si="48"/>
        <v>0</v>
      </c>
      <c r="T189" s="264">
        <f t="shared" si="48"/>
        <v>-3.8227843909155717E-3</v>
      </c>
      <c r="U189" s="264">
        <f t="shared" si="48"/>
        <v>-3.8227843909155717E-3</v>
      </c>
      <c r="V189" s="264">
        <f t="shared" si="48"/>
        <v>0</v>
      </c>
      <c r="W189" s="264">
        <f t="shared" si="48"/>
        <v>0</v>
      </c>
      <c r="X189" s="264">
        <f t="shared" si="48"/>
        <v>0</v>
      </c>
      <c r="Y189" s="264">
        <f t="shared" si="48"/>
        <v>0</v>
      </c>
      <c r="Z189" s="256"/>
      <c r="AA189" s="256"/>
    </row>
    <row r="190" spans="4:27" x14ac:dyDescent="0.25">
      <c r="E190" s="27"/>
      <c r="F190" s="182" t="s">
        <v>200</v>
      </c>
      <c r="G190" s="28" t="s">
        <v>270</v>
      </c>
      <c r="H190" s="258"/>
      <c r="I190" s="258"/>
      <c r="J190" s="265">
        <f t="shared" ref="J190:Y190" si="49">hundred * $H27 * J64 / $H52 * J102 * (1 - J76) / hours_in_year</f>
        <v>1.3756749270201553E-2</v>
      </c>
      <c r="K190" s="265">
        <f t="shared" si="49"/>
        <v>1.3756749270201553E-2</v>
      </c>
      <c r="L190" s="265">
        <f t="shared" si="49"/>
        <v>1.4747251375322365E-2</v>
      </c>
      <c r="M190" s="265">
        <f t="shared" si="49"/>
        <v>1.4747251375322365E-2</v>
      </c>
      <c r="N190" s="265">
        <f t="shared" si="49"/>
        <v>1.1607262738163324E-2</v>
      </c>
      <c r="O190" s="265">
        <f t="shared" si="49"/>
        <v>0</v>
      </c>
      <c r="P190" s="265">
        <f t="shared" si="49"/>
        <v>0</v>
      </c>
      <c r="Q190" s="265">
        <f t="shared" si="49"/>
        <v>1.2215768939014266E-2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190</v>
      </c>
      <c r="G193" s="19" t="s">
        <v>270</v>
      </c>
      <c r="H193" s="255"/>
      <c r="I193" s="255"/>
      <c r="J193" s="263">
        <f t="shared" ref="J193:Y193" si="50">hundred * $H30 * J55 / $H43 * J93 / hours_in_year</f>
        <v>8.4631705700365777E-3</v>
      </c>
      <c r="K193" s="263">
        <f t="shared" si="50"/>
        <v>8.4631705700365777E-3</v>
      </c>
      <c r="L193" s="263">
        <f t="shared" si="50"/>
        <v>9.0725287912971526E-3</v>
      </c>
      <c r="M193" s="263">
        <f t="shared" si="50"/>
        <v>9.0725287912971526E-3</v>
      </c>
      <c r="N193" s="263">
        <f t="shared" si="50"/>
        <v>7.1408035775639856E-3</v>
      </c>
      <c r="O193" s="263">
        <f t="shared" si="50"/>
        <v>6.8253004800283299E-3</v>
      </c>
      <c r="P193" s="263">
        <f t="shared" si="50"/>
        <v>6.0194256650598146E-3</v>
      </c>
      <c r="Q193" s="263">
        <f t="shared" si="50"/>
        <v>1.0171471862856664E-2</v>
      </c>
      <c r="R193" s="263">
        <f t="shared" si="50"/>
        <v>-5.8037396980410135E-3</v>
      </c>
      <c r="S193" s="263">
        <f t="shared" si="50"/>
        <v>-5.7214560539288993E-3</v>
      </c>
      <c r="T193" s="263">
        <f t="shared" si="50"/>
        <v>-5.8037396980410135E-3</v>
      </c>
      <c r="U193" s="263">
        <f t="shared" si="50"/>
        <v>-5.8037396980410135E-3</v>
      </c>
      <c r="V193" s="263">
        <f t="shared" si="50"/>
        <v>-5.7214560539288993E-3</v>
      </c>
      <c r="W193" s="263">
        <f t="shared" si="50"/>
        <v>-5.7214560539288993E-3</v>
      </c>
      <c r="X193" s="263">
        <f t="shared" si="50"/>
        <v>-5.6556291386392092E-3</v>
      </c>
      <c r="Y193" s="263">
        <f t="shared" si="50"/>
        <v>-5.6556291386392092E-3</v>
      </c>
      <c r="Z193" s="256"/>
      <c r="AA193" s="256"/>
    </row>
    <row r="194" spans="3:27" x14ac:dyDescent="0.25">
      <c r="D194" s="27"/>
      <c r="E194" s="27"/>
      <c r="F194" s="181" t="s">
        <v>192</v>
      </c>
      <c r="G194" t="s">
        <v>270</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193</v>
      </c>
      <c r="G195" t="s">
        <v>270</v>
      </c>
      <c r="H195" s="256"/>
      <c r="I195" s="256"/>
      <c r="J195" s="264">
        <f t="shared" ref="J195:Y195" si="52">hundred * $H32 * J57 / $H45 * J95 / hours_in_year</f>
        <v>5.7541307193915564E-2</v>
      </c>
      <c r="K195" s="264">
        <f t="shared" si="52"/>
        <v>5.7541307193915564E-2</v>
      </c>
      <c r="L195" s="264">
        <f t="shared" si="52"/>
        <v>6.1684348895666492E-2</v>
      </c>
      <c r="M195" s="264">
        <f t="shared" si="52"/>
        <v>6.1684348895666492E-2</v>
      </c>
      <c r="N195" s="264">
        <f t="shared" si="52"/>
        <v>4.8550501123392195E-2</v>
      </c>
      <c r="O195" s="264">
        <f t="shared" si="52"/>
        <v>4.6405387716342832E-2</v>
      </c>
      <c r="P195" s="264">
        <f t="shared" si="52"/>
        <v>4.092622480639066E-2</v>
      </c>
      <c r="Q195" s="264">
        <f t="shared" si="52"/>
        <v>6.75043098433252E-2</v>
      </c>
      <c r="R195" s="264">
        <f t="shared" si="52"/>
        <v>-3.945977055228575E-2</v>
      </c>
      <c r="S195" s="264">
        <f t="shared" si="52"/>
        <v>-3.8900322009483956E-2</v>
      </c>
      <c r="T195" s="264">
        <f t="shared" si="52"/>
        <v>-3.945977055228575E-2</v>
      </c>
      <c r="U195" s="264">
        <f t="shared" si="52"/>
        <v>-3.945977055228575E-2</v>
      </c>
      <c r="V195" s="264">
        <f t="shared" si="52"/>
        <v>-3.8900322009483956E-2</v>
      </c>
      <c r="W195" s="264">
        <f t="shared" si="52"/>
        <v>-3.8900322009483956E-2</v>
      </c>
      <c r="X195" s="264">
        <f t="shared" si="52"/>
        <v>-3.845276317524253E-2</v>
      </c>
      <c r="Y195" s="264">
        <f t="shared" si="52"/>
        <v>-3.845276317524253E-2</v>
      </c>
      <c r="Z195" s="256"/>
      <c r="AA195" s="256"/>
    </row>
    <row r="196" spans="3:27" x14ac:dyDescent="0.25">
      <c r="D196" s="27"/>
      <c r="E196" s="27"/>
      <c r="F196" s="181" t="s">
        <v>194</v>
      </c>
      <c r="G196" t="s">
        <v>270</v>
      </c>
      <c r="H196" s="256"/>
      <c r="I196" s="256"/>
      <c r="J196" s="264">
        <f t="shared" ref="J196:Y196" si="53">hundred * $H33 * J58 / $H46 * J96 / hours_in_year</f>
        <v>8.2423018986439531E-3</v>
      </c>
      <c r="K196" s="264">
        <f t="shared" si="53"/>
        <v>8.2423018986439531E-3</v>
      </c>
      <c r="L196" s="264">
        <f t="shared" si="53"/>
        <v>8.8357573161481559E-3</v>
      </c>
      <c r="M196" s="264">
        <f t="shared" si="53"/>
        <v>8.8357573161481559E-3</v>
      </c>
      <c r="N196" s="264">
        <f t="shared" si="53"/>
        <v>6.9544455471071531E-3</v>
      </c>
      <c r="O196" s="264">
        <f t="shared" si="53"/>
        <v>6.6471763318259403E-3</v>
      </c>
      <c r="P196" s="264">
        <f t="shared" si="53"/>
        <v>5.8623329374364987E-3</v>
      </c>
      <c r="Q196" s="264">
        <f t="shared" si="53"/>
        <v>9.6694171252182104E-3</v>
      </c>
      <c r="R196" s="264">
        <f t="shared" si="53"/>
        <v>-5.6522758624008192E-3</v>
      </c>
      <c r="S196" s="264">
        <f t="shared" si="53"/>
        <v>-5.572139626166402E-3</v>
      </c>
      <c r="T196" s="264">
        <f t="shared" si="53"/>
        <v>-5.6522758624008192E-3</v>
      </c>
      <c r="U196" s="264">
        <f t="shared" si="53"/>
        <v>-5.6522758624008192E-3</v>
      </c>
      <c r="V196" s="264">
        <f t="shared" si="53"/>
        <v>-5.572139626166402E-3</v>
      </c>
      <c r="W196" s="264">
        <f t="shared" si="53"/>
        <v>-5.572139626166402E-3</v>
      </c>
      <c r="X196" s="264">
        <f t="shared" si="53"/>
        <v>-5.5080306371788684E-3</v>
      </c>
      <c r="Y196" s="264">
        <f t="shared" si="53"/>
        <v>-5.5080306371788684E-3</v>
      </c>
      <c r="Z196" s="256"/>
      <c r="AA196" s="256"/>
    </row>
    <row r="197" spans="3:27" x14ac:dyDescent="0.25">
      <c r="D197" s="27"/>
      <c r="E197" s="27"/>
      <c r="F197" s="181" t="s">
        <v>195</v>
      </c>
      <c r="G197" t="s">
        <v>270</v>
      </c>
      <c r="H197" s="256"/>
      <c r="I197" s="256"/>
      <c r="J197" s="264">
        <f t="shared" ref="J197:Y197" si="54">hundred * $H34 * J59 / $H47 * J97 / hours_in_year</f>
        <v>6.7585168974133109E-2</v>
      </c>
      <c r="K197" s="264">
        <f t="shared" si="54"/>
        <v>6.7585168974133109E-2</v>
      </c>
      <c r="L197" s="264">
        <f t="shared" si="54"/>
        <v>7.2451380520841338E-2</v>
      </c>
      <c r="M197" s="264">
        <f t="shared" si="54"/>
        <v>7.2451380520841338E-2</v>
      </c>
      <c r="N197" s="264">
        <f t="shared" si="54"/>
        <v>5.7025013546273179E-2</v>
      </c>
      <c r="O197" s="264">
        <f t="shared" si="54"/>
        <v>5.450546960203273E-2</v>
      </c>
      <c r="P197" s="264">
        <f t="shared" si="54"/>
        <v>4.8069916272353116E-2</v>
      </c>
      <c r="Q197" s="264">
        <f t="shared" si="54"/>
        <v>6.0014527536718695E-2</v>
      </c>
      <c r="R197" s="264">
        <f t="shared" si="54"/>
        <v>-4.6347491750044094E-2</v>
      </c>
      <c r="S197" s="264">
        <f t="shared" si="54"/>
        <v>-4.5690391205383728E-2</v>
      </c>
      <c r="T197" s="264">
        <f t="shared" si="54"/>
        <v>-4.6347491750044094E-2</v>
      </c>
      <c r="U197" s="264">
        <f t="shared" si="54"/>
        <v>-4.6347491750044094E-2</v>
      </c>
      <c r="V197" s="264">
        <f t="shared" si="54"/>
        <v>-4.5690391205383728E-2</v>
      </c>
      <c r="W197" s="264">
        <f t="shared" si="54"/>
        <v>-4.5690391205383728E-2</v>
      </c>
      <c r="X197" s="264">
        <f t="shared" si="54"/>
        <v>-4.5164710769655433E-2</v>
      </c>
      <c r="Y197" s="264">
        <f t="shared" si="54"/>
        <v>-4.5164710769655433E-2</v>
      </c>
      <c r="Z197" s="256"/>
      <c r="AA197" s="256"/>
    </row>
    <row r="198" spans="3:27" x14ac:dyDescent="0.25">
      <c r="D198" s="27"/>
      <c r="E198" s="27"/>
      <c r="F198" s="181" t="s">
        <v>196</v>
      </c>
      <c r="G198" t="s">
        <v>270</v>
      </c>
      <c r="H198" s="256"/>
      <c r="I198" s="256"/>
      <c r="J198" s="264">
        <f t="shared" ref="J198:Y198" si="55">hundred * $H35 * J60 / $H48 * J98 / hours_in_year</f>
        <v>5.3457108142228094E-2</v>
      </c>
      <c r="K198" s="264">
        <f t="shared" si="55"/>
        <v>5.3457108142228094E-2</v>
      </c>
      <c r="L198" s="264">
        <f t="shared" si="55"/>
        <v>5.7306082715257591E-2</v>
      </c>
      <c r="M198" s="264">
        <f t="shared" si="55"/>
        <v>5.7306082715257591E-2</v>
      </c>
      <c r="N198" s="264">
        <f t="shared" si="55"/>
        <v>4.5104456528352536E-2</v>
      </c>
      <c r="O198" s="264">
        <f t="shared" si="55"/>
        <v>4.3111600179233885E-2</v>
      </c>
      <c r="P198" s="264">
        <f t="shared" si="55"/>
        <v>3.8021340355641108E-2</v>
      </c>
      <c r="Q198" s="264">
        <f t="shared" si="55"/>
        <v>4.7469039988092258E-2</v>
      </c>
      <c r="R198" s="264">
        <f t="shared" si="55"/>
        <v>-3.6658972910926436E-2</v>
      </c>
      <c r="S198" s="264">
        <f t="shared" si="55"/>
        <v>-3.6139233219372645E-2</v>
      </c>
      <c r="T198" s="264">
        <f t="shared" si="55"/>
        <v>-3.6658972910926436E-2</v>
      </c>
      <c r="U198" s="264">
        <f t="shared" si="55"/>
        <v>-3.6658972910926436E-2</v>
      </c>
      <c r="V198" s="264">
        <f t="shared" si="55"/>
        <v>-3.6139233219372645E-2</v>
      </c>
      <c r="W198" s="264">
        <f t="shared" si="55"/>
        <v>-3.6139233219372645E-2</v>
      </c>
      <c r="X198" s="264">
        <f t="shared" si="55"/>
        <v>-3.572344146612963E-2</v>
      </c>
      <c r="Y198" s="264">
        <f t="shared" si="55"/>
        <v>-3.572344146612963E-2</v>
      </c>
      <c r="Z198" s="256"/>
      <c r="AA198" s="256"/>
    </row>
    <row r="199" spans="3:27" x14ac:dyDescent="0.25">
      <c r="D199" s="27"/>
      <c r="E199" s="27"/>
      <c r="F199" s="181" t="s">
        <v>197</v>
      </c>
      <c r="G199" t="s">
        <v>270</v>
      </c>
      <c r="H199" s="256"/>
      <c r="I199" s="256"/>
      <c r="J199" s="264">
        <f t="shared" ref="J199:Y199" si="56">hundred * $H36 * J61 / $H49 * J99 / hours_in_year</f>
        <v>0</v>
      </c>
      <c r="K199" s="264">
        <f t="shared" si="56"/>
        <v>0</v>
      </c>
      <c r="L199" s="264">
        <f t="shared" si="56"/>
        <v>0</v>
      </c>
      <c r="M199" s="264">
        <f t="shared" si="56"/>
        <v>0</v>
      </c>
      <c r="N199" s="264">
        <f t="shared" si="56"/>
        <v>0</v>
      </c>
      <c r="O199" s="264">
        <f t="shared" si="56"/>
        <v>0</v>
      </c>
      <c r="P199" s="264">
        <f t="shared" si="56"/>
        <v>0</v>
      </c>
      <c r="Q199" s="264">
        <f t="shared" si="56"/>
        <v>0</v>
      </c>
      <c r="R199" s="264">
        <f t="shared" si="56"/>
        <v>0</v>
      </c>
      <c r="S199" s="264">
        <f t="shared" si="56"/>
        <v>0</v>
      </c>
      <c r="T199" s="264">
        <f t="shared" si="56"/>
        <v>0</v>
      </c>
      <c r="U199" s="264">
        <f t="shared" si="56"/>
        <v>0</v>
      </c>
      <c r="V199" s="264">
        <f t="shared" si="56"/>
        <v>0</v>
      </c>
      <c r="W199" s="264">
        <f t="shared" si="56"/>
        <v>0</v>
      </c>
      <c r="X199" s="264">
        <f t="shared" si="56"/>
        <v>0</v>
      </c>
      <c r="Y199" s="264">
        <f t="shared" si="56"/>
        <v>0</v>
      </c>
      <c r="Z199" s="256"/>
      <c r="AA199" s="256"/>
    </row>
    <row r="200" spans="3:27" x14ac:dyDescent="0.25">
      <c r="D200" s="27"/>
      <c r="E200" s="27"/>
      <c r="F200" s="181" t="s">
        <v>198</v>
      </c>
      <c r="G200" t="s">
        <v>270</v>
      </c>
      <c r="H200" s="256"/>
      <c r="I200" s="256"/>
      <c r="J200" s="264">
        <f t="shared" ref="J200:Y200" si="57">hundred * $H37 * J62 / $H50 * J100 / hours_in_year</f>
        <v>0.24617044915308339</v>
      </c>
      <c r="K200" s="264">
        <f t="shared" si="57"/>
        <v>0.24617044915308339</v>
      </c>
      <c r="L200" s="264">
        <f t="shared" si="57"/>
        <v>0.26389501062581655</v>
      </c>
      <c r="M200" s="264">
        <f t="shared" si="57"/>
        <v>0.26389501062581655</v>
      </c>
      <c r="N200" s="264">
        <f t="shared" si="57"/>
        <v>0.20770641563416747</v>
      </c>
      <c r="O200" s="264">
        <f t="shared" si="57"/>
        <v>0.19852929476831618</v>
      </c>
      <c r="P200" s="264">
        <f t="shared" si="57"/>
        <v>0.17508860389244979</v>
      </c>
      <c r="Q200" s="264">
        <f t="shared" si="57"/>
        <v>0.2185953430859737</v>
      </c>
      <c r="R200" s="264">
        <f t="shared" si="57"/>
        <v>-0.1688148899293852</v>
      </c>
      <c r="S200" s="264">
        <f t="shared" si="57"/>
        <v>-0.16642148411753191</v>
      </c>
      <c r="T200" s="264">
        <f t="shared" si="57"/>
        <v>-0.1688148899293852</v>
      </c>
      <c r="U200" s="264">
        <f t="shared" si="57"/>
        <v>-0.1688148899293852</v>
      </c>
      <c r="V200" s="264">
        <f t="shared" si="57"/>
        <v>-0.16642148411753191</v>
      </c>
      <c r="W200" s="264">
        <f t="shared" si="57"/>
        <v>-0.16642148411753191</v>
      </c>
      <c r="X200" s="264">
        <f t="shared" si="57"/>
        <v>0</v>
      </c>
      <c r="Y200" s="264">
        <f t="shared" si="57"/>
        <v>0</v>
      </c>
      <c r="Z200" s="256"/>
      <c r="AA200" s="256"/>
    </row>
    <row r="201" spans="3:27" x14ac:dyDescent="0.25">
      <c r="D201" s="27"/>
      <c r="E201" s="27"/>
      <c r="F201" s="181" t="s">
        <v>199</v>
      </c>
      <c r="G201" t="s">
        <v>270</v>
      </c>
      <c r="H201" s="256"/>
      <c r="I201" s="256"/>
      <c r="J201" s="264">
        <f t="shared" ref="J201:Y201" si="58">hundred * $H38 * J63 / $H51 * J101 / hours_in_year</f>
        <v>0.10100004779041546</v>
      </c>
      <c r="K201" s="264">
        <f t="shared" si="58"/>
        <v>0.10100004779041546</v>
      </c>
      <c r="L201" s="264">
        <f t="shared" si="58"/>
        <v>0.10827216985855602</v>
      </c>
      <c r="M201" s="264">
        <f t="shared" si="58"/>
        <v>0.10827216985855602</v>
      </c>
      <c r="N201" s="264">
        <f t="shared" si="58"/>
        <v>8.5218831007539922E-2</v>
      </c>
      <c r="O201" s="264">
        <f t="shared" si="58"/>
        <v>8.1453595784472976E-2</v>
      </c>
      <c r="P201" s="264">
        <f t="shared" si="58"/>
        <v>0</v>
      </c>
      <c r="Q201" s="264">
        <f t="shared" si="58"/>
        <v>8.9686394830908844E-2</v>
      </c>
      <c r="R201" s="264">
        <f t="shared" si="58"/>
        <v>-6.9262220584399764E-2</v>
      </c>
      <c r="S201" s="264">
        <f t="shared" si="58"/>
        <v>0</v>
      </c>
      <c r="T201" s="264">
        <f t="shared" si="58"/>
        <v>-6.9262220584399764E-2</v>
      </c>
      <c r="U201" s="264">
        <f t="shared" si="58"/>
        <v>-6.9262220584399764E-2</v>
      </c>
      <c r="V201" s="264">
        <f t="shared" si="58"/>
        <v>0</v>
      </c>
      <c r="W201" s="264">
        <f t="shared" si="58"/>
        <v>0</v>
      </c>
      <c r="X201" s="264">
        <f t="shared" si="58"/>
        <v>0</v>
      </c>
      <c r="Y201" s="264">
        <f t="shared" si="58"/>
        <v>0</v>
      </c>
      <c r="Z201" s="256"/>
      <c r="AA201" s="256"/>
    </row>
    <row r="202" spans="3:27" x14ac:dyDescent="0.25">
      <c r="D202" s="27"/>
      <c r="E202" s="27"/>
      <c r="F202" s="182" t="s">
        <v>200</v>
      </c>
      <c r="G202" s="28" t="s">
        <v>270</v>
      </c>
      <c r="H202" s="258"/>
      <c r="I202" s="258"/>
      <c r="J202" s="265">
        <f t="shared" ref="J202:Y202" si="59">hundred * $H39 * J64 / $H52 * J102 / hours_in_year</f>
        <v>0.24924842864307495</v>
      </c>
      <c r="K202" s="265">
        <f t="shared" si="59"/>
        <v>0.24924842864307495</v>
      </c>
      <c r="L202" s="265">
        <f t="shared" si="59"/>
        <v>0.26719460825425595</v>
      </c>
      <c r="M202" s="265">
        <f t="shared" si="59"/>
        <v>0.26719460825425595</v>
      </c>
      <c r="N202" s="265">
        <f t="shared" si="59"/>
        <v>0.21030346206870545</v>
      </c>
      <c r="O202" s="265">
        <f t="shared" si="59"/>
        <v>0</v>
      </c>
      <c r="P202" s="265">
        <f t="shared" si="59"/>
        <v>0</v>
      </c>
      <c r="Q202" s="265">
        <f t="shared" si="59"/>
        <v>0.22132853866221397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155</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190</v>
      </c>
      <c r="G210" s="19" t="s">
        <v>270</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192</v>
      </c>
      <c r="G211" t="s">
        <v>270</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193</v>
      </c>
      <c r="G212" t="s">
        <v>270</v>
      </c>
      <c r="H212" s="256"/>
      <c r="I212" s="256"/>
      <c r="J212" s="264">
        <f t="shared" ref="J212:Y212" si="62">hundred * $H20 * J57 / $H45 * J107 * (1 - J69) / hours_in_year</f>
        <v>1.237112786582483E-3</v>
      </c>
      <c r="K212" s="264">
        <f t="shared" si="62"/>
        <v>1.237112786582483E-3</v>
      </c>
      <c r="L212" s="264">
        <f t="shared" si="62"/>
        <v>1.3261863602381484E-3</v>
      </c>
      <c r="M212" s="264">
        <f t="shared" si="62"/>
        <v>1.3261863602381484E-3</v>
      </c>
      <c r="N212" s="264">
        <f t="shared" si="62"/>
        <v>1.0438144120070792E-3</v>
      </c>
      <c r="O212" s="264">
        <f t="shared" si="62"/>
        <v>9.9769541760211895E-4</v>
      </c>
      <c r="P212" s="264">
        <f t="shared" si="62"/>
        <v>8.7989582586140401E-4</v>
      </c>
      <c r="Q212" s="264">
        <f t="shared" si="62"/>
        <v>9.1791378202282802E-4</v>
      </c>
      <c r="R212" s="264">
        <f t="shared" si="62"/>
        <v>-8.483677046357658E-4</v>
      </c>
      <c r="S212" s="264">
        <f t="shared" si="62"/>
        <v>-8.3633980712202608E-4</v>
      </c>
      <c r="T212" s="264">
        <f t="shared" si="62"/>
        <v>-8.483677046357658E-4</v>
      </c>
      <c r="U212" s="264">
        <f t="shared" si="62"/>
        <v>-8.483677046357658E-4</v>
      </c>
      <c r="V212" s="264">
        <f t="shared" si="62"/>
        <v>-8.3633980712202608E-4</v>
      </c>
      <c r="W212" s="264">
        <f t="shared" si="62"/>
        <v>-8.3633980712202608E-4</v>
      </c>
      <c r="X212" s="264">
        <f t="shared" si="62"/>
        <v>-8.2671748911103426E-4</v>
      </c>
      <c r="Y212" s="264">
        <f t="shared" si="62"/>
        <v>-8.2671748911103426E-4</v>
      </c>
      <c r="Z212" s="256"/>
      <c r="AA212" s="256"/>
    </row>
    <row r="213" spans="3:27" x14ac:dyDescent="0.25">
      <c r="E213" s="27"/>
      <c r="F213" s="181" t="s">
        <v>194</v>
      </c>
      <c r="G213" t="s">
        <v>270</v>
      </c>
      <c r="H213" s="256"/>
      <c r="I213" s="256"/>
      <c r="J213" s="264">
        <f t="shared" ref="J213:Y213" si="63">hundred * $H21 * J58 / $H46 * J108 * (1 - J70) / hours_in_year</f>
        <v>1.7720586422068118E-4</v>
      </c>
      <c r="K213" s="264">
        <f t="shared" si="63"/>
        <v>1.7720586422068118E-4</v>
      </c>
      <c r="L213" s="264">
        <f t="shared" si="63"/>
        <v>1.8996489457755018E-4</v>
      </c>
      <c r="M213" s="264">
        <f t="shared" si="63"/>
        <v>1.8996489457755018E-4</v>
      </c>
      <c r="N213" s="264">
        <f t="shared" si="63"/>
        <v>1.4951751931745471E-4</v>
      </c>
      <c r="O213" s="264">
        <f t="shared" si="63"/>
        <v>1.4291136638689103E-4</v>
      </c>
      <c r="P213" s="264">
        <f t="shared" si="63"/>
        <v>4.1592400983343627E-5</v>
      </c>
      <c r="Q213" s="264">
        <f t="shared" si="63"/>
        <v>1.3148332697520305E-4</v>
      </c>
      <c r="R213" s="264">
        <f t="shared" si="63"/>
        <v>-1.2152144404892787E-4</v>
      </c>
      <c r="S213" s="264">
        <f t="shared" si="63"/>
        <v>-1.1979855022970869E-4</v>
      </c>
      <c r="T213" s="264">
        <f t="shared" si="63"/>
        <v>-1.2152144404892787E-4</v>
      </c>
      <c r="U213" s="264">
        <f t="shared" si="63"/>
        <v>-1.2152144404892787E-4</v>
      </c>
      <c r="V213" s="264">
        <f t="shared" si="63"/>
        <v>-1.1979855022970869E-4</v>
      </c>
      <c r="W213" s="264">
        <f t="shared" si="63"/>
        <v>-1.1979855022970869E-4</v>
      </c>
      <c r="X213" s="264">
        <f t="shared" si="63"/>
        <v>-3.907867760752999E-5</v>
      </c>
      <c r="Y213" s="264">
        <f t="shared" si="63"/>
        <v>-3.907867760752999E-5</v>
      </c>
      <c r="Z213" s="256"/>
      <c r="AA213" s="256"/>
    </row>
    <row r="214" spans="3:27" x14ac:dyDescent="0.25">
      <c r="E214" s="27"/>
      <c r="F214" s="181" t="s">
        <v>195</v>
      </c>
      <c r="G214" t="s">
        <v>270</v>
      </c>
      <c r="H214" s="256"/>
      <c r="I214" s="256"/>
      <c r="J214" s="264">
        <f t="shared" ref="J214:Y214" si="64">hundred * $H22 * J59 / $H47 * J109 * (1 - J71) / hours_in_year</f>
        <v>6.2147601320881761E-3</v>
      </c>
      <c r="K214" s="264">
        <f t="shared" si="64"/>
        <v>6.2147601320881761E-3</v>
      </c>
      <c r="L214" s="264">
        <f t="shared" si="64"/>
        <v>6.6622301609988678E-3</v>
      </c>
      <c r="M214" s="264">
        <f t="shared" si="64"/>
        <v>6.6622301609988678E-3</v>
      </c>
      <c r="N214" s="264">
        <f t="shared" si="64"/>
        <v>5.2437063648506236E-3</v>
      </c>
      <c r="O214" s="264">
        <f t="shared" si="64"/>
        <v>5.0120229719792875E-3</v>
      </c>
      <c r="P214" s="264">
        <f t="shared" si="64"/>
        <v>1.4586808205579785E-3</v>
      </c>
      <c r="Q214" s="264">
        <f t="shared" si="64"/>
        <v>4.6112319257233698E-3</v>
      </c>
      <c r="R214" s="264">
        <f t="shared" si="64"/>
        <v>-4.2618602323935993E-3</v>
      </c>
      <c r="S214" s="264">
        <f t="shared" si="64"/>
        <v>-4.2014368831630663E-3</v>
      </c>
      <c r="T214" s="264">
        <f t="shared" si="64"/>
        <v>-4.2618602323935993E-3</v>
      </c>
      <c r="U214" s="264">
        <f t="shared" si="64"/>
        <v>-4.2618602323935993E-3</v>
      </c>
      <c r="V214" s="264">
        <f t="shared" si="64"/>
        <v>-4.2014368831630663E-3</v>
      </c>
      <c r="W214" s="264">
        <f t="shared" si="64"/>
        <v>-4.2014368831630663E-3</v>
      </c>
      <c r="X214" s="264">
        <f t="shared" si="64"/>
        <v>-1.3705224072469509E-3</v>
      </c>
      <c r="Y214" s="264">
        <f t="shared" si="64"/>
        <v>-1.3705224072469509E-3</v>
      </c>
      <c r="Z214" s="256"/>
      <c r="AA214" s="256"/>
    </row>
    <row r="215" spans="3:27" x14ac:dyDescent="0.25">
      <c r="E215" s="27"/>
      <c r="F215" s="181" t="s">
        <v>196</v>
      </c>
      <c r="G215" t="s">
        <v>270</v>
      </c>
      <c r="H215" s="256"/>
      <c r="I215" s="256"/>
      <c r="J215" s="264">
        <f t="shared" ref="J215:Y215" si="65">hundred * $H23 * J60 / $H48 * J110 * (1 - J72) / hours_in_year</f>
        <v>9.3396807029331324E-4</v>
      </c>
      <c r="K215" s="264">
        <f t="shared" si="65"/>
        <v>9.3396807029331324E-4</v>
      </c>
      <c r="L215" s="264">
        <f t="shared" si="65"/>
        <v>1.0012148683246622E-3</v>
      </c>
      <c r="M215" s="264">
        <f t="shared" si="65"/>
        <v>1.0012148683246622E-3</v>
      </c>
      <c r="N215" s="264">
        <f t="shared" si="65"/>
        <v>7.880359355267255E-4</v>
      </c>
      <c r="O215" s="264">
        <f t="shared" si="65"/>
        <v>7.5321803640270187E-4</v>
      </c>
      <c r="P215" s="264">
        <f t="shared" si="65"/>
        <v>0</v>
      </c>
      <c r="Q215" s="264">
        <f t="shared" si="65"/>
        <v>6.9298626041994942E-4</v>
      </c>
      <c r="R215" s="264">
        <f t="shared" si="65"/>
        <v>-6.404818999459958E-4</v>
      </c>
      <c r="S215" s="264">
        <f t="shared" si="65"/>
        <v>-6.31401343708576E-4</v>
      </c>
      <c r="T215" s="264">
        <f t="shared" si="65"/>
        <v>-6.404818999459958E-4</v>
      </c>
      <c r="U215" s="264">
        <f t="shared" si="65"/>
        <v>-6.404818999459958E-4</v>
      </c>
      <c r="V215" s="264">
        <f t="shared" si="65"/>
        <v>-6.31401343708576E-4</v>
      </c>
      <c r="W215" s="264">
        <f t="shared" si="65"/>
        <v>-6.31401343708576E-4</v>
      </c>
      <c r="X215" s="264">
        <f t="shared" si="65"/>
        <v>0</v>
      </c>
      <c r="Y215" s="264">
        <f t="shared" si="65"/>
        <v>0</v>
      </c>
      <c r="Z215" s="256"/>
      <c r="AA215" s="256"/>
    </row>
    <row r="216" spans="3:27" x14ac:dyDescent="0.25">
      <c r="E216" s="27"/>
      <c r="F216" s="181" t="s">
        <v>197</v>
      </c>
      <c r="G216" t="s">
        <v>270</v>
      </c>
      <c r="H216" s="256"/>
      <c r="I216" s="256"/>
      <c r="J216" s="264">
        <f t="shared" ref="J216:Y216" si="66">hundred * $H24 * J61 / $H49 * J111 * (1 - J73) / hours_in_year</f>
        <v>0</v>
      </c>
      <c r="K216" s="264">
        <f t="shared" si="66"/>
        <v>0</v>
      </c>
      <c r="L216" s="264">
        <f t="shared" si="66"/>
        <v>0</v>
      </c>
      <c r="M216" s="264">
        <f t="shared" si="66"/>
        <v>0</v>
      </c>
      <c r="N216" s="264">
        <f t="shared" si="66"/>
        <v>0</v>
      </c>
      <c r="O216" s="264">
        <f t="shared" si="66"/>
        <v>0</v>
      </c>
      <c r="P216" s="264">
        <f t="shared" si="66"/>
        <v>0</v>
      </c>
      <c r="Q216" s="264">
        <f t="shared" si="66"/>
        <v>0</v>
      </c>
      <c r="R216" s="264">
        <f t="shared" si="66"/>
        <v>0</v>
      </c>
      <c r="S216" s="264">
        <f t="shared" si="66"/>
        <v>0</v>
      </c>
      <c r="T216" s="264">
        <f t="shared" si="66"/>
        <v>0</v>
      </c>
      <c r="U216" s="264">
        <f t="shared" si="66"/>
        <v>0</v>
      </c>
      <c r="V216" s="264">
        <f t="shared" si="66"/>
        <v>0</v>
      </c>
      <c r="W216" s="264">
        <f t="shared" si="66"/>
        <v>0</v>
      </c>
      <c r="X216" s="264">
        <f t="shared" si="66"/>
        <v>0</v>
      </c>
      <c r="Y216" s="264">
        <f t="shared" si="66"/>
        <v>0</v>
      </c>
      <c r="Z216" s="256"/>
      <c r="AA216" s="256"/>
    </row>
    <row r="217" spans="3:27" x14ac:dyDescent="0.25">
      <c r="E217" s="27"/>
      <c r="F217" s="181" t="s">
        <v>198</v>
      </c>
      <c r="G217" t="s">
        <v>270</v>
      </c>
      <c r="H217" s="256"/>
      <c r="I217" s="256"/>
      <c r="J217" s="264">
        <f t="shared" ref="J217:Y217" si="67">hundred * $H25 * J62 / $H50 * J112 * (1 - J74) / hours_in_year</f>
        <v>4.3009311081143847E-3</v>
      </c>
      <c r="K217" s="264">
        <f t="shared" si="67"/>
        <v>4.3009311081143847E-3</v>
      </c>
      <c r="L217" s="264">
        <f t="shared" si="67"/>
        <v>4.610603199456097E-3</v>
      </c>
      <c r="M217" s="264">
        <f t="shared" si="67"/>
        <v>4.610603199456097E-3</v>
      </c>
      <c r="N217" s="264">
        <f t="shared" si="67"/>
        <v>3.6289123549528915E-3</v>
      </c>
      <c r="O217" s="264">
        <f t="shared" si="67"/>
        <v>3.4685756258667753E-3</v>
      </c>
      <c r="P217" s="264">
        <f t="shared" si="67"/>
        <v>0</v>
      </c>
      <c r="Q217" s="264">
        <f t="shared" si="67"/>
        <v>3.1912077722314343E-3</v>
      </c>
      <c r="R217" s="264">
        <f t="shared" si="67"/>
        <v>-2.9494247343989314E-3</v>
      </c>
      <c r="S217" s="264">
        <f t="shared" si="67"/>
        <v>-2.9076086937411009E-3</v>
      </c>
      <c r="T217" s="264">
        <f t="shared" si="67"/>
        <v>-2.9494247343989314E-3</v>
      </c>
      <c r="U217" s="264">
        <f t="shared" si="67"/>
        <v>-2.9494247343989314E-3</v>
      </c>
      <c r="V217" s="264">
        <f t="shared" si="67"/>
        <v>-2.9076086937411009E-3</v>
      </c>
      <c r="W217" s="264">
        <f t="shared" si="67"/>
        <v>-2.9076086937411009E-3</v>
      </c>
      <c r="X217" s="264">
        <f t="shared" si="67"/>
        <v>0</v>
      </c>
      <c r="Y217" s="264">
        <f t="shared" si="67"/>
        <v>0</v>
      </c>
      <c r="Z217" s="256"/>
      <c r="AA217" s="256"/>
    </row>
    <row r="218" spans="3:27" x14ac:dyDescent="0.25">
      <c r="E218" s="27"/>
      <c r="F218" s="181" t="s">
        <v>199</v>
      </c>
      <c r="G218" t="s">
        <v>270</v>
      </c>
      <c r="H218" s="256"/>
      <c r="I218" s="256"/>
      <c r="J218" s="264">
        <f t="shared" ref="J218:Y218" si="68">hundred * $H26 * J63 / $H51 * J113 * (1 - J75) / hours_in_year</f>
        <v>4.6437042318197912E-4</v>
      </c>
      <c r="K218" s="264">
        <f t="shared" si="68"/>
        <v>4.6437042318197912E-4</v>
      </c>
      <c r="L218" s="264">
        <f t="shared" si="68"/>
        <v>4.9780563906644032E-4</v>
      </c>
      <c r="M218" s="264">
        <f t="shared" si="68"/>
        <v>4.9780563906644032E-4</v>
      </c>
      <c r="N218" s="264">
        <f t="shared" si="68"/>
        <v>3.9181273161536286E-4</v>
      </c>
      <c r="O218" s="264">
        <f t="shared" si="68"/>
        <v>3.7450121630258284E-4</v>
      </c>
      <c r="P218" s="264">
        <f t="shared" si="68"/>
        <v>0</v>
      </c>
      <c r="Q218" s="264">
        <f t="shared" si="68"/>
        <v>3.4455388063689028E-4</v>
      </c>
      <c r="R218" s="264">
        <f t="shared" si="68"/>
        <v>-3.1844862836147579E-4</v>
      </c>
      <c r="S218" s="264">
        <f t="shared" si="68"/>
        <v>0</v>
      </c>
      <c r="T218" s="264">
        <f t="shared" si="68"/>
        <v>-3.1844862836147579E-4</v>
      </c>
      <c r="U218" s="264">
        <f t="shared" si="68"/>
        <v>-3.1844862836147579E-4</v>
      </c>
      <c r="V218" s="264">
        <f t="shared" si="68"/>
        <v>0</v>
      </c>
      <c r="W218" s="264">
        <f t="shared" si="68"/>
        <v>0</v>
      </c>
      <c r="X218" s="264">
        <f t="shared" si="68"/>
        <v>0</v>
      </c>
      <c r="Y218" s="264">
        <f t="shared" si="68"/>
        <v>0</v>
      </c>
      <c r="Z218" s="256"/>
      <c r="AA218" s="256"/>
    </row>
    <row r="219" spans="3:27" x14ac:dyDescent="0.25">
      <c r="E219" s="27"/>
      <c r="F219" s="182" t="s">
        <v>200</v>
      </c>
      <c r="G219" s="28" t="s">
        <v>270</v>
      </c>
      <c r="H219" s="258"/>
      <c r="I219" s="258"/>
      <c r="J219" s="265">
        <f t="shared" ref="J219:Y219" si="69">hundred * $H27 * J64 / $H52 * J114 * (1 - J76) / hours_in_year</f>
        <v>1.1459756784136061E-3</v>
      </c>
      <c r="K219" s="265">
        <f t="shared" si="69"/>
        <v>1.1459756784136061E-3</v>
      </c>
      <c r="L219" s="265">
        <f t="shared" si="69"/>
        <v>1.2284872732381659E-3</v>
      </c>
      <c r="M219" s="265">
        <f t="shared" si="69"/>
        <v>1.2284872732381659E-3</v>
      </c>
      <c r="N219" s="265">
        <f t="shared" si="69"/>
        <v>9.6691744027815679E-4</v>
      </c>
      <c r="O219" s="265">
        <f t="shared" si="69"/>
        <v>0</v>
      </c>
      <c r="P219" s="265">
        <f t="shared" si="69"/>
        <v>0</v>
      </c>
      <c r="Q219" s="265">
        <f t="shared" si="69"/>
        <v>8.5029180886950185E-4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190</v>
      </c>
      <c r="G222" s="19" t="s">
        <v>270</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192</v>
      </c>
      <c r="G223" t="s">
        <v>270</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193</v>
      </c>
      <c r="G224" t="s">
        <v>270</v>
      </c>
      <c r="H224" s="256"/>
      <c r="I224" s="256"/>
      <c r="J224" s="264">
        <f t="shared" ref="J224:Y224" si="72">hundred * $H32 * J57 / $H45 * J107 / hours_in_year</f>
        <v>1.1207168643316496E-3</v>
      </c>
      <c r="K224" s="264">
        <f t="shared" si="72"/>
        <v>1.1207168643316496E-3</v>
      </c>
      <c r="L224" s="264">
        <f t="shared" si="72"/>
        <v>1.2014097948751623E-3</v>
      </c>
      <c r="M224" s="264">
        <f t="shared" si="72"/>
        <v>1.2014097948751623E-3</v>
      </c>
      <c r="N224" s="264">
        <f t="shared" si="72"/>
        <v>9.4560530572186609E-4</v>
      </c>
      <c r="O224" s="264">
        <f t="shared" si="72"/>
        <v>9.0382549764273423E-4</v>
      </c>
      <c r="P224" s="264">
        <f t="shared" si="72"/>
        <v>7.9710928671429765E-4</v>
      </c>
      <c r="Q224" s="264">
        <f t="shared" si="72"/>
        <v>8.3155025691494648E-4</v>
      </c>
      <c r="R224" s="264">
        <f t="shared" si="72"/>
        <v>-7.6854754396820898E-4</v>
      </c>
      <c r="S224" s="264">
        <f t="shared" si="72"/>
        <v>-7.5765131224843276E-4</v>
      </c>
      <c r="T224" s="264">
        <f t="shared" si="72"/>
        <v>-7.6854754396820898E-4</v>
      </c>
      <c r="U224" s="264">
        <f t="shared" si="72"/>
        <v>-7.6854754396820898E-4</v>
      </c>
      <c r="V224" s="264">
        <f t="shared" si="72"/>
        <v>-7.5765131224843276E-4</v>
      </c>
      <c r="W224" s="264">
        <f t="shared" si="72"/>
        <v>-7.5765131224843276E-4</v>
      </c>
      <c r="X224" s="264">
        <f t="shared" si="72"/>
        <v>-7.4893432687261191E-4</v>
      </c>
      <c r="Y224" s="264">
        <f t="shared" si="72"/>
        <v>-7.4893432687261191E-4</v>
      </c>
      <c r="Z224" s="256"/>
      <c r="AA224" s="256"/>
    </row>
    <row r="225" spans="2:27" x14ac:dyDescent="0.25">
      <c r="C225" s="27"/>
      <c r="E225" s="27"/>
      <c r="F225" s="181" t="s">
        <v>194</v>
      </c>
      <c r="G225" t="s">
        <v>270</v>
      </c>
      <c r="H225" s="256"/>
      <c r="I225" s="256"/>
      <c r="J225" s="264">
        <f t="shared" ref="J225:Y225" si="73">hundred * $H33 * J58 / $H46 * J108 / hours_in_year</f>
        <v>1.6053314026379654E-4</v>
      </c>
      <c r="K225" s="264">
        <f t="shared" si="73"/>
        <v>1.6053314026379654E-4</v>
      </c>
      <c r="L225" s="264">
        <f t="shared" si="73"/>
        <v>1.7209171491321408E-4</v>
      </c>
      <c r="M225" s="264">
        <f t="shared" si="73"/>
        <v>1.7209171491321408E-4</v>
      </c>
      <c r="N225" s="264">
        <f t="shared" si="73"/>
        <v>1.3544990176280296E-4</v>
      </c>
      <c r="O225" s="264">
        <f t="shared" si="73"/>
        <v>1.2946530029563262E-4</v>
      </c>
      <c r="P225" s="264">
        <f t="shared" si="73"/>
        <v>1.1417911249688636E-4</v>
      </c>
      <c r="Q225" s="264">
        <f t="shared" si="73"/>
        <v>1.1911248797824777E-4</v>
      </c>
      <c r="R225" s="264">
        <f t="shared" si="73"/>
        <v>-1.1008788624664994E-4</v>
      </c>
      <c r="S225" s="264">
        <f t="shared" si="73"/>
        <v>-1.0852709390855941E-4</v>
      </c>
      <c r="T225" s="264">
        <f t="shared" si="73"/>
        <v>-1.1008788624664994E-4</v>
      </c>
      <c r="U225" s="264">
        <f t="shared" si="73"/>
        <v>-1.1008788624664994E-4</v>
      </c>
      <c r="V225" s="264">
        <f t="shared" si="73"/>
        <v>-1.0852709390855941E-4</v>
      </c>
      <c r="W225" s="264">
        <f t="shared" si="73"/>
        <v>-1.0852709390855941E-4</v>
      </c>
      <c r="X225" s="264">
        <f t="shared" si="73"/>
        <v>-1.0727846003808702E-4</v>
      </c>
      <c r="Y225" s="264">
        <f t="shared" si="73"/>
        <v>-1.0727846003808702E-4</v>
      </c>
      <c r="Z225" s="256"/>
      <c r="AA225" s="256"/>
    </row>
    <row r="226" spans="2:27" x14ac:dyDescent="0.25">
      <c r="C226" s="27"/>
      <c r="E226" s="27"/>
      <c r="F226" s="181" t="s">
        <v>195</v>
      </c>
      <c r="G226" t="s">
        <v>270</v>
      </c>
      <c r="H226" s="256"/>
      <c r="I226" s="256"/>
      <c r="J226" s="264">
        <f t="shared" ref="J226:Y226" si="74">hundred * $H34 * J59 / $H47 * J109 / hours_in_year</f>
        <v>5.6300335453228524E-3</v>
      </c>
      <c r="K226" s="264">
        <f t="shared" si="74"/>
        <v>5.6300335453228524E-3</v>
      </c>
      <c r="L226" s="264">
        <f t="shared" si="74"/>
        <v>6.0354025732095818E-3</v>
      </c>
      <c r="M226" s="264">
        <f t="shared" si="74"/>
        <v>6.0354025732095818E-3</v>
      </c>
      <c r="N226" s="264">
        <f t="shared" si="74"/>
        <v>4.7503430717304946E-3</v>
      </c>
      <c r="O226" s="264">
        <f t="shared" si="74"/>
        <v>4.540458016469069E-3</v>
      </c>
      <c r="P226" s="264">
        <f t="shared" si="74"/>
        <v>4.0043584301429963E-3</v>
      </c>
      <c r="Q226" s="264">
        <f t="shared" si="74"/>
        <v>4.1773760974364712E-3</v>
      </c>
      <c r="R226" s="264">
        <f t="shared" si="74"/>
        <v>-3.8608756514937649E-3</v>
      </c>
      <c r="S226" s="264">
        <f t="shared" si="74"/>
        <v>-3.8061373388544391E-3</v>
      </c>
      <c r="T226" s="264">
        <f t="shared" si="74"/>
        <v>-3.8608756514937649E-3</v>
      </c>
      <c r="U226" s="264">
        <f t="shared" si="74"/>
        <v>-3.8608756514937649E-3</v>
      </c>
      <c r="V226" s="264">
        <f t="shared" si="74"/>
        <v>-3.8061373388544391E-3</v>
      </c>
      <c r="W226" s="264">
        <f t="shared" si="74"/>
        <v>-3.8061373388544391E-3</v>
      </c>
      <c r="X226" s="264">
        <f t="shared" si="74"/>
        <v>-3.7623466887429778E-3</v>
      </c>
      <c r="Y226" s="264">
        <f t="shared" si="74"/>
        <v>-3.7623466887429778E-3</v>
      </c>
      <c r="Z226" s="256"/>
      <c r="AA226" s="256"/>
    </row>
    <row r="227" spans="2:27" x14ac:dyDescent="0.25">
      <c r="C227" s="27"/>
      <c r="E227" s="27"/>
      <c r="F227" s="181" t="s">
        <v>196</v>
      </c>
      <c r="G227" t="s">
        <v>270</v>
      </c>
      <c r="H227" s="256"/>
      <c r="I227" s="256"/>
      <c r="J227" s="264">
        <f t="shared" ref="J227:Y227" si="75">hundred * $H35 * J60 / $H48 * J110 / hours_in_year</f>
        <v>4.4531265756231828E-3</v>
      </c>
      <c r="K227" s="264">
        <f t="shared" si="75"/>
        <v>4.4531265756231828E-3</v>
      </c>
      <c r="L227" s="264">
        <f t="shared" si="75"/>
        <v>4.7737569193831344E-3</v>
      </c>
      <c r="M227" s="264">
        <f t="shared" si="75"/>
        <v>4.7737569193831344E-3</v>
      </c>
      <c r="N227" s="264">
        <f t="shared" si="75"/>
        <v>3.7573273419701206E-3</v>
      </c>
      <c r="O227" s="264">
        <f t="shared" si="75"/>
        <v>3.5913168360136765E-3</v>
      </c>
      <c r="P227" s="264">
        <f t="shared" si="75"/>
        <v>3.1672839602180278E-3</v>
      </c>
      <c r="Q227" s="264">
        <f t="shared" si="75"/>
        <v>3.3041338681403286E-3</v>
      </c>
      <c r="R227" s="264">
        <f t="shared" si="75"/>
        <v>-3.0537949428607585E-3</v>
      </c>
      <c r="S227" s="264">
        <f t="shared" si="75"/>
        <v>-3.0104991733494991E-3</v>
      </c>
      <c r="T227" s="264">
        <f t="shared" si="75"/>
        <v>-3.0537949428607585E-3</v>
      </c>
      <c r="U227" s="264">
        <f t="shared" si="75"/>
        <v>-3.0537949428607585E-3</v>
      </c>
      <c r="V227" s="264">
        <f t="shared" si="75"/>
        <v>-3.0104991733494991E-3</v>
      </c>
      <c r="W227" s="264">
        <f t="shared" si="75"/>
        <v>-3.0104991733494991E-3</v>
      </c>
      <c r="X227" s="264">
        <f t="shared" si="75"/>
        <v>-2.9758625577404932E-3</v>
      </c>
      <c r="Y227" s="264">
        <f t="shared" si="75"/>
        <v>-2.9758625577404932E-3</v>
      </c>
      <c r="Z227" s="256"/>
      <c r="AA227" s="256"/>
    </row>
    <row r="228" spans="2:27" x14ac:dyDescent="0.25">
      <c r="C228" s="27"/>
      <c r="E228" s="27"/>
      <c r="F228" s="181" t="s">
        <v>197</v>
      </c>
      <c r="G228" t="s">
        <v>270</v>
      </c>
      <c r="H228" s="256"/>
      <c r="I228" s="256"/>
      <c r="J228" s="264">
        <f t="shared" ref="J228:Y228" si="76">hundred * $H36 * J61 / $H49 * J111 / hours_in_year</f>
        <v>0</v>
      </c>
      <c r="K228" s="264">
        <f t="shared" si="76"/>
        <v>0</v>
      </c>
      <c r="L228" s="264">
        <f t="shared" si="76"/>
        <v>0</v>
      </c>
      <c r="M228" s="264">
        <f t="shared" si="76"/>
        <v>0</v>
      </c>
      <c r="N228" s="264">
        <f t="shared" si="76"/>
        <v>0</v>
      </c>
      <c r="O228" s="264">
        <f t="shared" si="76"/>
        <v>0</v>
      </c>
      <c r="P228" s="264">
        <f t="shared" si="76"/>
        <v>0</v>
      </c>
      <c r="Q228" s="264">
        <f t="shared" si="76"/>
        <v>0</v>
      </c>
      <c r="R228" s="264">
        <f t="shared" si="76"/>
        <v>0</v>
      </c>
      <c r="S228" s="264">
        <f t="shared" si="76"/>
        <v>0</v>
      </c>
      <c r="T228" s="264">
        <f t="shared" si="76"/>
        <v>0</v>
      </c>
      <c r="U228" s="264">
        <f t="shared" si="76"/>
        <v>0</v>
      </c>
      <c r="V228" s="264">
        <f t="shared" si="76"/>
        <v>0</v>
      </c>
      <c r="W228" s="264">
        <f t="shared" si="76"/>
        <v>0</v>
      </c>
      <c r="X228" s="264">
        <f t="shared" si="76"/>
        <v>0</v>
      </c>
      <c r="Y228" s="264">
        <f t="shared" si="76"/>
        <v>0</v>
      </c>
      <c r="Z228" s="256"/>
      <c r="AA228" s="256"/>
    </row>
    <row r="229" spans="2:27" x14ac:dyDescent="0.25">
      <c r="C229" s="27"/>
      <c r="E229" s="27"/>
      <c r="F229" s="181" t="s">
        <v>198</v>
      </c>
      <c r="G229" t="s">
        <v>270</v>
      </c>
      <c r="H229" s="256"/>
      <c r="I229" s="256"/>
      <c r="J229" s="264">
        <f t="shared" ref="J229:Y229" si="77">hundred * $H37 * J62 / $H50 * J112 / hours_in_year</f>
        <v>2.0506686713019792E-2</v>
      </c>
      <c r="K229" s="264">
        <f t="shared" si="77"/>
        <v>2.0506686713019792E-2</v>
      </c>
      <c r="L229" s="264">
        <f t="shared" si="77"/>
        <v>2.1983192242003784E-2</v>
      </c>
      <c r="M229" s="264">
        <f t="shared" si="77"/>
        <v>2.1983192242003784E-2</v>
      </c>
      <c r="N229" s="264">
        <f t="shared" si="77"/>
        <v>1.7302525174520109E-2</v>
      </c>
      <c r="O229" s="264">
        <f t="shared" si="77"/>
        <v>1.6538045346941376E-2</v>
      </c>
      <c r="P229" s="264">
        <f t="shared" si="77"/>
        <v>1.4585370256239436E-2</v>
      </c>
      <c r="Q229" s="264">
        <f t="shared" si="77"/>
        <v>1.5215565275583908E-2</v>
      </c>
      <c r="R229" s="264">
        <f t="shared" si="77"/>
        <v>-1.4062752341659206E-2</v>
      </c>
      <c r="S229" s="264">
        <f t="shared" si="77"/>
        <v>-1.3863374945510919E-2</v>
      </c>
      <c r="T229" s="264">
        <f t="shared" si="77"/>
        <v>-1.4062752341659206E-2</v>
      </c>
      <c r="U229" s="264">
        <f t="shared" si="77"/>
        <v>-1.4062752341659206E-2</v>
      </c>
      <c r="V229" s="264">
        <f t="shared" si="77"/>
        <v>-1.3863374945510919E-2</v>
      </c>
      <c r="W229" s="264">
        <f t="shared" si="77"/>
        <v>-1.3863374945510919E-2</v>
      </c>
      <c r="X229" s="264">
        <f t="shared" si="77"/>
        <v>0</v>
      </c>
      <c r="Y229" s="264">
        <f t="shared" si="77"/>
        <v>0</v>
      </c>
      <c r="Z229" s="256"/>
      <c r="AA229" s="256"/>
    </row>
    <row r="230" spans="2:27" x14ac:dyDescent="0.25">
      <c r="C230" s="27"/>
      <c r="E230" s="27"/>
      <c r="F230" s="181" t="s">
        <v>199</v>
      </c>
      <c r="G230" t="s">
        <v>270</v>
      </c>
      <c r="H230" s="256"/>
      <c r="I230" s="256"/>
      <c r="J230" s="264">
        <f t="shared" ref="J230:Y230" si="78">hundred * $H38 * J63 / $H51 * J113 / hours_in_year</f>
        <v>8.4135863795337038E-3</v>
      </c>
      <c r="K230" s="264">
        <f t="shared" si="78"/>
        <v>8.4135863795337038E-3</v>
      </c>
      <c r="L230" s="264">
        <f t="shared" si="78"/>
        <v>9.0193744808401265E-3</v>
      </c>
      <c r="M230" s="264">
        <f t="shared" si="78"/>
        <v>9.0193744808401265E-3</v>
      </c>
      <c r="N230" s="264">
        <f t="shared" si="78"/>
        <v>7.0989668968539105E-3</v>
      </c>
      <c r="O230" s="264">
        <f t="shared" si="78"/>
        <v>6.7853122750831003E-3</v>
      </c>
      <c r="P230" s="264">
        <f t="shared" si="78"/>
        <v>0</v>
      </c>
      <c r="Q230" s="264">
        <f t="shared" si="78"/>
        <v>6.2427185118247236E-3</v>
      </c>
      <c r="R230" s="264">
        <f t="shared" si="78"/>
        <v>-5.769736633535188E-3</v>
      </c>
      <c r="S230" s="264">
        <f t="shared" si="78"/>
        <v>0</v>
      </c>
      <c r="T230" s="264">
        <f t="shared" si="78"/>
        <v>-5.769736633535188E-3</v>
      </c>
      <c r="U230" s="264">
        <f t="shared" si="78"/>
        <v>-5.769736633535188E-3</v>
      </c>
      <c r="V230" s="264">
        <f t="shared" si="78"/>
        <v>0</v>
      </c>
      <c r="W230" s="264">
        <f t="shared" si="78"/>
        <v>0</v>
      </c>
      <c r="X230" s="264">
        <f t="shared" si="78"/>
        <v>0</v>
      </c>
      <c r="Y230" s="264">
        <f t="shared" si="78"/>
        <v>0</v>
      </c>
      <c r="Z230" s="256"/>
      <c r="AA230" s="256"/>
    </row>
    <row r="231" spans="2:27" x14ac:dyDescent="0.25">
      <c r="C231" s="27"/>
      <c r="E231" s="27"/>
      <c r="F231" s="182" t="s">
        <v>200</v>
      </c>
      <c r="G231" s="28" t="s">
        <v>270</v>
      </c>
      <c r="H231" s="258"/>
      <c r="I231" s="258"/>
      <c r="J231" s="265">
        <f t="shared" ref="J231:Y231" si="79">hundred * $H39 * J64 / $H52 * J114 / hours_in_year</f>
        <v>2.0763091010641662E-2</v>
      </c>
      <c r="K231" s="265">
        <f t="shared" si="79"/>
        <v>2.0763091010641662E-2</v>
      </c>
      <c r="L231" s="265">
        <f t="shared" si="79"/>
        <v>2.2258057950208066E-2</v>
      </c>
      <c r="M231" s="265">
        <f t="shared" si="79"/>
        <v>2.2258057950208066E-2</v>
      </c>
      <c r="N231" s="265">
        <f t="shared" si="79"/>
        <v>1.7518866403922171E-2</v>
      </c>
      <c r="O231" s="265">
        <f t="shared" si="79"/>
        <v>0</v>
      </c>
      <c r="P231" s="265">
        <f t="shared" si="79"/>
        <v>0</v>
      </c>
      <c r="Q231" s="265">
        <f t="shared" si="79"/>
        <v>1.5405812309734425E-2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232</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233</v>
      </c>
      <c r="G237" s="6" t="s">
        <v>56</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56</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56</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107</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168</v>
      </c>
      <c r="H19" s="169">
        <f>'Unit costs'!$H$121</f>
        <v>4.4956662752271281E-2</v>
      </c>
      <c r="I19" s="3"/>
      <c r="J19" s="3"/>
      <c r="K19" s="3"/>
      <c r="L19" s="3"/>
      <c r="M19" s="3"/>
      <c r="N19" s="3"/>
      <c r="P19" s="3"/>
    </row>
    <row r="20" spans="2:27" x14ac:dyDescent="0.25">
      <c r="C20" s="78"/>
      <c r="E20" t="s">
        <v>597</v>
      </c>
      <c r="G20" t="s">
        <v>356</v>
      </c>
      <c r="H20" s="110">
        <f>'Unit costs'!$H$122</f>
        <v>160827360.76636776</v>
      </c>
    </row>
    <row r="21" spans="2:27" x14ac:dyDescent="0.25">
      <c r="C21" s="78"/>
      <c r="E21" t="s">
        <v>636</v>
      </c>
      <c r="G21" t="s">
        <v>356</v>
      </c>
      <c r="H21" s="110">
        <f>'Unit costs'!$H$123</f>
        <v>3948928393.2929344</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262</v>
      </c>
      <c r="H25" s="164"/>
      <c r="I25" s="19"/>
      <c r="J25" s="114">
        <f>'Inputs by customer type'!J187</f>
        <v>253.94376042356078</v>
      </c>
      <c r="K25" s="114">
        <f>'Inputs by customer type'!K187</f>
        <v>0</v>
      </c>
      <c r="L25" s="114">
        <f>'Inputs by customer type'!L187</f>
        <v>744.59771283887403</v>
      </c>
      <c r="M25" s="114">
        <f>'Inputs by customer type'!M187</f>
        <v>0</v>
      </c>
      <c r="N25" s="114">
        <f>'Inputs by customer type'!N187</f>
        <v>1485.574945951194</v>
      </c>
      <c r="O25" s="114">
        <f>'Inputs by customer type'!O187</f>
        <v>1159.6508907892558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262</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10705.70643318938</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6700.0880416230875</v>
      </c>
      <c r="Y26" s="110">
        <f>'Inputs by customer type'!Y188</f>
        <v>6700.0880416230875</v>
      </c>
    </row>
    <row r="27" spans="2:27" x14ac:dyDescent="0.25">
      <c r="E27" s="78"/>
      <c r="F27" s="28" t="s">
        <v>552</v>
      </c>
      <c r="G27" s="28" t="s">
        <v>265</v>
      </c>
      <c r="H27" s="28"/>
      <c r="I27" s="28"/>
      <c r="J27" s="71"/>
      <c r="K27" s="71"/>
      <c r="L27" s="71"/>
      <c r="M27" s="71"/>
      <c r="N27" s="71"/>
      <c r="O27" s="71"/>
      <c r="P27" s="71"/>
      <c r="Q27" s="115">
        <f>'Inputs by customer type'!Q190</f>
        <v>287.06730475432011</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278</v>
      </c>
      <c r="H35" s="88">
        <f>IF(H21 &lt;&gt; 0, H20  /H21, 0)</f>
        <v>4.072683643479718E-2</v>
      </c>
      <c r="I35" t="s">
        <v>155</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155</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271</v>
      </c>
      <c r="H42" s="164"/>
      <c r="I42" s="19"/>
      <c r="J42" s="91">
        <f t="shared" ref="J42:K42" si="0">J25 * $H$35 / days_in_year * hundred</f>
        <v>2.8335139710705972</v>
      </c>
      <c r="K42" s="91">
        <f t="shared" si="0"/>
        <v>0</v>
      </c>
      <c r="L42" s="91">
        <f t="shared" ref="L42:M42" si="1">L25 * $H$35 / days_in_year * hundred</f>
        <v>8.308249112469289</v>
      </c>
      <c r="M42" s="91">
        <f t="shared" si="1"/>
        <v>0</v>
      </c>
      <c r="N42" s="91">
        <f t="shared" ref="N42:P42" si="2">N25 * $H$35 / days_in_year * hundred</f>
        <v>16.57610077681834</v>
      </c>
      <c r="O42" s="91">
        <f t="shared" si="2"/>
        <v>12.93942798647695</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271</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119.45467255437254</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74.759832813677818</v>
      </c>
      <c r="Y43" s="111">
        <f t="shared" si="13"/>
        <v>74.759832813677818</v>
      </c>
    </row>
    <row r="44" spans="2:27" x14ac:dyDescent="0.25">
      <c r="D44"/>
      <c r="E44" s="78"/>
      <c r="F44" s="28" t="s">
        <v>552</v>
      </c>
      <c r="G44" s="28" t="s">
        <v>270</v>
      </c>
      <c r="H44" s="258"/>
      <c r="I44" s="258"/>
      <c r="J44" s="259"/>
      <c r="K44" s="259"/>
      <c r="L44" s="259"/>
      <c r="M44" s="259"/>
      <c r="N44" s="259"/>
      <c r="O44" s="259"/>
      <c r="P44" s="259"/>
      <c r="Q44" s="266">
        <f t="shared" ref="Q44" si="14">Q27*$H$35/ten</f>
        <v>1.1691343166507271</v>
      </c>
      <c r="R44" s="259"/>
      <c r="S44" s="259"/>
      <c r="T44" s="259"/>
      <c r="U44" s="259"/>
      <c r="V44" s="259"/>
      <c r="W44" s="259"/>
      <c r="X44" s="259"/>
      <c r="Y44" s="259"/>
      <c r="Z44" s="256"/>
      <c r="AA44" s="256"/>
    </row>
    <row r="45" spans="2:27" x14ac:dyDescent="0.25">
      <c r="D45" s="78"/>
      <c r="E45"/>
    </row>
    <row r="46" spans="2:27" x14ac:dyDescent="0.25">
      <c r="B46" s="25" t="s">
        <v>232</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233</v>
      </c>
      <c r="G48" s="6" t="s">
        <v>56</v>
      </c>
      <c r="H48" s="93">
        <f t="array" ref="H48">SUM(IF(ISERROR(H19:Y45), 1))</f>
        <v>0</v>
      </c>
    </row>
    <row r="50" spans="2:27" x14ac:dyDescent="0.25">
      <c r="B50" s="25" t="s">
        <v>107</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9"/>
  <sheetViews>
    <sheetView showGridLines="0" zoomScale="90" zoomScaleNormal="9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National Grid Electricity Distribution (South West) plc - [enter data version name]</v>
      </c>
    </row>
    <row r="3" spans="1:13" s="5" customFormat="1" x14ac:dyDescent="0.25">
      <c r="A3" s="5" t="str">
        <f>Cover!D2&amp;" - "&amp;Cover!D8&amp;" v"&amp;Cover!D10&amp;" - "&amp;Cover!D19</f>
        <v>CDCM charging model - Release for charge setting v9 - 2024/25</v>
      </c>
    </row>
    <row r="4" spans="1:13" customFormat="1" x14ac:dyDescent="0.25">
      <c r="A4" s="11" t="str">
        <f>J62 &amp; IF(J62 = 1, " issue", " issues") &amp;" identified in checks on this sheet"</f>
        <v>0 issues identified in checks on this sheet</v>
      </c>
      <c r="B4" s="12"/>
      <c r="C4" s="12"/>
      <c r="D4" s="12"/>
      <c r="E4" s="12"/>
      <c r="F4" s="12"/>
      <c r="G4" s="12"/>
      <c r="H4" s="13"/>
      <c r="I4" s="13"/>
      <c r="J4" s="12"/>
    </row>
    <row r="5" spans="1:13" x14ac:dyDescent="0.25">
      <c r="A5" s="30"/>
      <c r="B5" s="31" t="s">
        <v>33</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34</v>
      </c>
      <c r="H7" s="9">
        <f>LOOKUP(2,1/(F20:F34&lt;&gt;""),F20:F34)</f>
        <v>44861</v>
      </c>
      <c r="I7" s="34"/>
      <c r="J7" s="34"/>
      <c r="K7" s="30"/>
      <c r="L7" s="30"/>
    </row>
    <row r="8" spans="1:13" x14ac:dyDescent="0.25">
      <c r="A8" s="30"/>
      <c r="B8" s="30"/>
      <c r="C8" s="30"/>
      <c r="D8" s="30"/>
      <c r="F8" s="30"/>
      <c r="H8" s="30"/>
      <c r="I8" s="33"/>
      <c r="J8" s="33"/>
      <c r="K8" s="30"/>
      <c r="L8" s="30"/>
    </row>
    <row r="9" spans="1:13" x14ac:dyDescent="0.25">
      <c r="A9" s="30"/>
      <c r="B9" s="30"/>
      <c r="C9" s="30"/>
      <c r="D9" s="30"/>
      <c r="F9" s="30" t="s">
        <v>35</v>
      </c>
      <c r="H9" s="35" t="str">
        <f>LOOKUP(2,1/(G20:G34&lt;&gt;""),G20:G34)</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8" t="s">
        <v>823</v>
      </c>
      <c r="H11" s="35">
        <f>LOOKUP(2,1/(H20:H34&lt;&gt;""),H20:H34)</f>
        <v>9</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36</v>
      </c>
      <c r="H13" s="9" t="str">
        <f>LOOKUP(2,1/(I20:I34&lt;&gt;""),I20:I34)</f>
        <v>Attachment A_2024-25 Charging Methodologies Pre-Release (shared 06/10/2022)</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37</v>
      </c>
      <c r="H15" s="35" t="str">
        <f>LOOKUP(2,1/(J20:J34&lt;&gt;""),J20:J34)</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38</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39</v>
      </c>
      <c r="G19" s="38" t="s">
        <v>40</v>
      </c>
      <c r="H19" s="37" t="s">
        <v>820</v>
      </c>
      <c r="I19" s="38" t="s">
        <v>41</v>
      </c>
      <c r="J19" s="38" t="s">
        <v>42</v>
      </c>
      <c r="K19" s="38" t="s">
        <v>43</v>
      </c>
      <c r="L19" s="38" t="s">
        <v>44</v>
      </c>
    </row>
    <row r="20" spans="1:12" ht="30" x14ac:dyDescent="0.25">
      <c r="A20" s="30"/>
      <c r="B20" s="30"/>
      <c r="C20" s="30"/>
      <c r="D20" s="30"/>
      <c r="E20" s="30"/>
      <c r="F20" s="234">
        <v>43250</v>
      </c>
      <c r="G20" s="231" t="s">
        <v>45</v>
      </c>
      <c r="H20" s="231">
        <v>1</v>
      </c>
      <c r="I20" s="231" t="s">
        <v>46</v>
      </c>
      <c r="J20" s="231" t="s">
        <v>47</v>
      </c>
      <c r="K20" s="231" t="s">
        <v>48</v>
      </c>
      <c r="L20" s="231" t="s">
        <v>49</v>
      </c>
    </row>
    <row r="21" spans="1:12" ht="30" x14ac:dyDescent="0.25">
      <c r="A21" s="30"/>
      <c r="B21" s="30"/>
      <c r="C21" s="30"/>
      <c r="D21" s="30"/>
      <c r="E21" s="30"/>
      <c r="F21" s="234">
        <v>43301</v>
      </c>
      <c r="G21" s="231" t="s">
        <v>45</v>
      </c>
      <c r="H21" s="231">
        <v>2</v>
      </c>
      <c r="I21" s="231" t="s">
        <v>50</v>
      </c>
      <c r="J21" s="231" t="s">
        <v>47</v>
      </c>
      <c r="K21" s="231" t="s">
        <v>48</v>
      </c>
      <c r="L21" s="231" t="s">
        <v>51</v>
      </c>
    </row>
    <row r="22" spans="1:12" ht="45" x14ac:dyDescent="0.25">
      <c r="A22" s="30"/>
      <c r="B22" s="30"/>
      <c r="C22" s="30"/>
      <c r="D22" s="30"/>
      <c r="E22" s="30"/>
      <c r="F22" s="234">
        <v>43389</v>
      </c>
      <c r="G22" s="231" t="s">
        <v>821</v>
      </c>
      <c r="H22" s="231">
        <v>3</v>
      </c>
      <c r="I22" s="285" t="s">
        <v>822</v>
      </c>
      <c r="J22" s="285" t="s">
        <v>47</v>
      </c>
      <c r="K22" s="285" t="s">
        <v>48</v>
      </c>
      <c r="L22" s="285" t="s">
        <v>824</v>
      </c>
    </row>
    <row r="23" spans="1:12" ht="60" x14ac:dyDescent="0.25">
      <c r="A23" s="30"/>
      <c r="B23" s="30"/>
      <c r="C23" s="30"/>
      <c r="D23" s="30"/>
      <c r="E23" s="30"/>
      <c r="F23" s="234">
        <v>43663</v>
      </c>
      <c r="G23" s="231" t="s">
        <v>45</v>
      </c>
      <c r="H23" s="231">
        <v>4</v>
      </c>
      <c r="I23" s="231" t="s">
        <v>855</v>
      </c>
      <c r="J23" s="285" t="s">
        <v>47</v>
      </c>
      <c r="K23" s="285" t="s">
        <v>48</v>
      </c>
      <c r="L23" s="231" t="s">
        <v>856</v>
      </c>
    </row>
    <row r="24" spans="1:12" ht="60" x14ac:dyDescent="0.25">
      <c r="A24" s="30"/>
      <c r="B24" s="30"/>
      <c r="C24" s="30"/>
      <c r="D24" s="30"/>
      <c r="E24" s="30"/>
      <c r="F24" s="234">
        <v>43777</v>
      </c>
      <c r="G24" s="231" t="s">
        <v>821</v>
      </c>
      <c r="H24" s="231">
        <v>5</v>
      </c>
      <c r="I24" s="231" t="s">
        <v>900</v>
      </c>
      <c r="J24" s="231" t="s">
        <v>47</v>
      </c>
      <c r="K24" s="231" t="s">
        <v>48</v>
      </c>
      <c r="L24" s="285" t="s">
        <v>894</v>
      </c>
    </row>
    <row r="25" spans="1:12" ht="90" x14ac:dyDescent="0.25">
      <c r="A25" s="30"/>
      <c r="B25" s="30"/>
      <c r="C25" s="30"/>
      <c r="D25" s="30"/>
      <c r="E25" s="30"/>
      <c r="F25" s="234">
        <v>43860</v>
      </c>
      <c r="G25" s="231" t="s">
        <v>821</v>
      </c>
      <c r="H25" s="231">
        <v>6</v>
      </c>
      <c r="I25" s="231" t="s">
        <v>902</v>
      </c>
      <c r="J25" s="231" t="s">
        <v>47</v>
      </c>
      <c r="K25" s="231" t="s">
        <v>48</v>
      </c>
      <c r="L25" s="285" t="s">
        <v>903</v>
      </c>
    </row>
    <row r="26" spans="1:12" ht="45" x14ac:dyDescent="0.25">
      <c r="A26" s="30"/>
      <c r="B26" s="30"/>
      <c r="C26" s="30"/>
      <c r="D26" s="30"/>
      <c r="E26" s="30"/>
      <c r="F26" s="234">
        <v>43977</v>
      </c>
      <c r="G26" s="231" t="s">
        <v>45</v>
      </c>
      <c r="H26" s="231">
        <v>6</v>
      </c>
      <c r="I26" s="231" t="s">
        <v>1124</v>
      </c>
      <c r="J26" s="231" t="s">
        <v>47</v>
      </c>
      <c r="K26" s="231" t="s">
        <v>48</v>
      </c>
      <c r="L26" s="231" t="s">
        <v>1125</v>
      </c>
    </row>
    <row r="27" spans="1:12" ht="60" x14ac:dyDescent="0.25">
      <c r="A27" s="30"/>
      <c r="B27" s="30"/>
      <c r="C27" s="30"/>
      <c r="D27" s="30"/>
      <c r="E27" s="30"/>
      <c r="F27" s="234">
        <v>44141</v>
      </c>
      <c r="G27" s="231" t="s">
        <v>821</v>
      </c>
      <c r="H27" s="231">
        <v>7</v>
      </c>
      <c r="I27" s="231" t="s">
        <v>1136</v>
      </c>
      <c r="J27" s="231" t="s">
        <v>47</v>
      </c>
      <c r="K27" s="231" t="s">
        <v>48</v>
      </c>
      <c r="L27" s="231" t="s">
        <v>1137</v>
      </c>
    </row>
    <row r="28" spans="1:12" ht="45" x14ac:dyDescent="0.25">
      <c r="A28" s="30"/>
      <c r="B28" s="30"/>
      <c r="C28" s="30"/>
      <c r="D28" s="30"/>
      <c r="E28" s="30"/>
      <c r="F28" s="234">
        <v>44225</v>
      </c>
      <c r="G28" s="231" t="s">
        <v>45</v>
      </c>
      <c r="H28" s="231">
        <v>7</v>
      </c>
      <c r="I28" s="231" t="s">
        <v>1152</v>
      </c>
      <c r="J28" s="231" t="s">
        <v>47</v>
      </c>
      <c r="K28" s="231" t="s">
        <v>48</v>
      </c>
      <c r="L28" s="231" t="s">
        <v>1153</v>
      </c>
    </row>
    <row r="29" spans="1:12" ht="90" x14ac:dyDescent="0.25">
      <c r="A29" s="30"/>
      <c r="B29" s="30"/>
      <c r="C29" s="30"/>
      <c r="D29" s="30"/>
      <c r="E29" s="30"/>
      <c r="F29" s="423">
        <v>44250</v>
      </c>
      <c r="G29" s="231" t="s">
        <v>821</v>
      </c>
      <c r="H29" s="425">
        <v>8</v>
      </c>
      <c r="I29" s="285" t="s">
        <v>1154</v>
      </c>
      <c r="J29" s="231" t="s">
        <v>47</v>
      </c>
      <c r="K29" s="424" t="s">
        <v>48</v>
      </c>
      <c r="L29" s="424" t="s">
        <v>1155</v>
      </c>
    </row>
    <row r="30" spans="1:12" ht="60" x14ac:dyDescent="0.25">
      <c r="A30" s="30"/>
      <c r="B30" s="30"/>
      <c r="C30" s="30"/>
      <c r="D30" s="30"/>
      <c r="E30" s="30"/>
      <c r="F30" s="423">
        <v>44522</v>
      </c>
      <c r="G30" s="231" t="s">
        <v>821</v>
      </c>
      <c r="H30" s="425">
        <v>8</v>
      </c>
      <c r="I30" s="285" t="s">
        <v>1156</v>
      </c>
      <c r="J30" s="231" t="s">
        <v>47</v>
      </c>
      <c r="K30" s="424" t="s">
        <v>48</v>
      </c>
      <c r="L30" s="424" t="s">
        <v>1162</v>
      </c>
    </row>
    <row r="31" spans="1:12" ht="60" x14ac:dyDescent="0.25">
      <c r="A31" s="30"/>
      <c r="B31" s="30"/>
      <c r="C31" s="30"/>
      <c r="D31" s="30"/>
      <c r="E31" s="30"/>
      <c r="F31" s="423">
        <v>44627</v>
      </c>
      <c r="G31" s="231" t="s">
        <v>45</v>
      </c>
      <c r="H31" s="425">
        <v>8</v>
      </c>
      <c r="I31" s="285" t="s">
        <v>1156</v>
      </c>
      <c r="J31" s="231" t="s">
        <v>47</v>
      </c>
      <c r="K31" s="424" t="s">
        <v>48</v>
      </c>
      <c r="L31" s="424" t="s">
        <v>1164</v>
      </c>
    </row>
    <row r="32" spans="1:12" ht="45" x14ac:dyDescent="0.25">
      <c r="A32" s="30"/>
      <c r="B32" s="30"/>
      <c r="C32" s="30"/>
      <c r="D32" s="30"/>
      <c r="E32" s="30"/>
      <c r="F32" s="423">
        <v>44861</v>
      </c>
      <c r="G32" s="231" t="s">
        <v>821</v>
      </c>
      <c r="H32" s="425">
        <v>9</v>
      </c>
      <c r="I32" s="285" t="s">
        <v>1165</v>
      </c>
      <c r="J32" s="231" t="s">
        <v>47</v>
      </c>
      <c r="K32" s="424" t="s">
        <v>48</v>
      </c>
      <c r="L32" s="424" t="s">
        <v>1166</v>
      </c>
    </row>
    <row r="33" spans="1:12" x14ac:dyDescent="0.25">
      <c r="A33" s="30"/>
      <c r="B33" s="30"/>
      <c r="C33" s="30"/>
      <c r="D33" s="30"/>
      <c r="E33" s="30"/>
      <c r="F33" s="234"/>
      <c r="G33" s="231"/>
      <c r="H33" s="231"/>
      <c r="I33" s="231"/>
      <c r="J33" s="231"/>
      <c r="K33" s="231"/>
      <c r="L33" s="231"/>
    </row>
    <row r="35" spans="1:12" x14ac:dyDescent="0.25">
      <c r="B35" s="31" t="s">
        <v>52</v>
      </c>
      <c r="C35" s="31"/>
      <c r="D35" s="31"/>
      <c r="E35" s="31"/>
      <c r="F35" s="31"/>
      <c r="G35" s="32"/>
      <c r="H35" s="32"/>
      <c r="I35" s="32"/>
      <c r="J35" s="32"/>
      <c r="K35" s="32"/>
      <c r="L35" s="31"/>
    </row>
    <row r="37" spans="1:12" x14ac:dyDescent="0.25">
      <c r="E37" s="27" t="s">
        <v>53</v>
      </c>
      <c r="F37" s="39"/>
      <c r="G37" s="40"/>
      <c r="H37" s="40"/>
      <c r="I37" s="40"/>
      <c r="J37" s="40"/>
    </row>
    <row r="38" spans="1:12" x14ac:dyDescent="0.25">
      <c r="F38" s="6" t="s">
        <v>54</v>
      </c>
      <c r="H38" s="233" t="s">
        <v>55</v>
      </c>
      <c r="I38" s="6" t="s">
        <v>56</v>
      </c>
      <c r="J38" s="41">
        <f>'Fixed inputs'!H197</f>
        <v>0</v>
      </c>
    </row>
    <row r="39" spans="1:12" x14ac:dyDescent="0.25">
      <c r="F39" s="6" t="s">
        <v>57</v>
      </c>
      <c r="H39" s="233" t="s">
        <v>58</v>
      </c>
      <c r="I39" s="6" t="s">
        <v>56</v>
      </c>
      <c r="J39" s="41">
        <f>'Inputs by customer type'!H236</f>
        <v>0</v>
      </c>
    </row>
    <row r="40" spans="1:12" x14ac:dyDescent="0.25">
      <c r="F40" s="6" t="s">
        <v>59</v>
      </c>
      <c r="H40" s="233" t="s">
        <v>60</v>
      </c>
      <c r="I40" s="6" t="s">
        <v>56</v>
      </c>
      <c r="J40" s="42">
        <f>'Inputs by network level'!H56</f>
        <v>0</v>
      </c>
    </row>
    <row r="41" spans="1:12" x14ac:dyDescent="0.25">
      <c r="F41" s="6" t="s">
        <v>61</v>
      </c>
      <c r="H41" s="233" t="s">
        <v>62</v>
      </c>
      <c r="I41" s="6" t="s">
        <v>56</v>
      </c>
      <c r="J41" s="41">
        <f>'General inputs'!H115</f>
        <v>0</v>
      </c>
    </row>
    <row r="42" spans="1:12" x14ac:dyDescent="0.25">
      <c r="F42" s="6" t="s">
        <v>63</v>
      </c>
      <c r="H42" s="233" t="s">
        <v>64</v>
      </c>
      <c r="I42" s="6" t="s">
        <v>56</v>
      </c>
      <c r="J42" s="42">
        <f>'Standing charge factors'!H58</f>
        <v>0</v>
      </c>
    </row>
    <row r="43" spans="1:12" x14ac:dyDescent="0.25">
      <c r="F43" s="6" t="s">
        <v>65</v>
      </c>
      <c r="H43" s="233" t="s">
        <v>66</v>
      </c>
      <c r="I43" s="6" t="s">
        <v>56</v>
      </c>
      <c r="J43" s="42">
        <f>'Load &amp; loss characteristics'!H183</f>
        <v>0</v>
      </c>
    </row>
    <row r="44" spans="1:12" x14ac:dyDescent="0.25">
      <c r="F44" s="6" t="s">
        <v>67</v>
      </c>
      <c r="H44" s="233" t="s">
        <v>68</v>
      </c>
      <c r="I44" s="6" t="s">
        <v>56</v>
      </c>
      <c r="J44" s="42">
        <f>'Customer contributions'!H70</f>
        <v>0</v>
      </c>
    </row>
    <row r="45" spans="1:12" x14ac:dyDescent="0.25">
      <c r="F45" s="6" t="s">
        <v>69</v>
      </c>
      <c r="H45" s="233" t="s">
        <v>70</v>
      </c>
      <c r="I45" s="6" t="s">
        <v>56</v>
      </c>
      <c r="J45" s="42">
        <f>'Volume adjustments'!H693</f>
        <v>0</v>
      </c>
    </row>
    <row r="46" spans="1:12" x14ac:dyDescent="0.25">
      <c r="F46" s="6" t="s">
        <v>71</v>
      </c>
      <c r="H46" s="233" t="s">
        <v>72</v>
      </c>
      <c r="I46" s="6" t="s">
        <v>56</v>
      </c>
      <c r="J46" s="42">
        <f>'Pseudo-load coefficients'!H306</f>
        <v>0</v>
      </c>
    </row>
    <row r="47" spans="1:12" x14ac:dyDescent="0.25">
      <c r="F47" s="6" t="s">
        <v>73</v>
      </c>
      <c r="H47" s="233" t="s">
        <v>74</v>
      </c>
      <c r="I47" s="6" t="s">
        <v>56</v>
      </c>
      <c r="J47" s="42">
        <f>'System peak demand'!H281</f>
        <v>0</v>
      </c>
    </row>
    <row r="48" spans="1:12" x14ac:dyDescent="0.25">
      <c r="F48" s="6" t="s">
        <v>75</v>
      </c>
      <c r="H48" s="233" t="s">
        <v>76</v>
      </c>
      <c r="I48" s="6" t="s">
        <v>56</v>
      </c>
      <c r="J48" s="42">
        <f>'Service model assets'!H38</f>
        <v>0</v>
      </c>
    </row>
    <row r="49" spans="2:12" x14ac:dyDescent="0.25">
      <c r="F49" s="6" t="s">
        <v>77</v>
      </c>
      <c r="H49" s="233" t="s">
        <v>78</v>
      </c>
      <c r="I49" s="6" t="s">
        <v>56</v>
      </c>
      <c r="J49" s="42">
        <f>'Unit costs'!H131</f>
        <v>0</v>
      </c>
    </row>
    <row r="50" spans="2:12" x14ac:dyDescent="0.25">
      <c r="F50" s="6" t="s">
        <v>79</v>
      </c>
      <c r="H50" s="233" t="s">
        <v>80</v>
      </c>
      <c r="I50" s="6" t="s">
        <v>56</v>
      </c>
      <c r="J50" s="42">
        <f>'Initial unit rates'!H241</f>
        <v>0</v>
      </c>
    </row>
    <row r="51" spans="2:12" x14ac:dyDescent="0.25">
      <c r="F51" s="6" t="s">
        <v>81</v>
      </c>
      <c r="H51" s="233" t="s">
        <v>82</v>
      </c>
      <c r="I51" s="6" t="s">
        <v>56</v>
      </c>
      <c r="J51" s="42">
        <f>'Service model charges'!H48</f>
        <v>0</v>
      </c>
    </row>
    <row r="52" spans="2:12" x14ac:dyDescent="0.25">
      <c r="F52" s="6" t="s">
        <v>83</v>
      </c>
      <c r="H52" s="233" t="s">
        <v>84</v>
      </c>
      <c r="I52" s="6" t="s">
        <v>56</v>
      </c>
      <c r="J52" s="42">
        <f>'Unit rate charges'!H223</f>
        <v>0</v>
      </c>
    </row>
    <row r="53" spans="2:12" x14ac:dyDescent="0.25">
      <c r="F53" s="6" t="s">
        <v>87</v>
      </c>
      <c r="H53" s="233" t="s">
        <v>86</v>
      </c>
      <c r="I53" s="6" t="s">
        <v>56</v>
      </c>
      <c r="J53" s="42">
        <f>'Capacity charges'!H295</f>
        <v>0</v>
      </c>
    </row>
    <row r="54" spans="2:12" x14ac:dyDescent="0.25">
      <c r="F54" s="6" t="s">
        <v>85</v>
      </c>
      <c r="H54" s="233" t="s">
        <v>88</v>
      </c>
      <c r="I54" s="6" t="s">
        <v>56</v>
      </c>
      <c r="J54" s="42">
        <f>'Reactive power charges'!H254</f>
        <v>0</v>
      </c>
    </row>
    <row r="55" spans="2:12" x14ac:dyDescent="0.25">
      <c r="F55" s="6" t="s">
        <v>89</v>
      </c>
      <c r="H55" s="233" t="s">
        <v>90</v>
      </c>
      <c r="I55" s="6" t="s">
        <v>56</v>
      </c>
      <c r="J55" s="42">
        <f>'Fixed charges'!H165</f>
        <v>0</v>
      </c>
    </row>
    <row r="56" spans="2:12" x14ac:dyDescent="0.25">
      <c r="F56" s="6" t="s">
        <v>1150</v>
      </c>
      <c r="H56" s="233" t="s">
        <v>92</v>
      </c>
      <c r="I56" s="6" t="s">
        <v>56</v>
      </c>
      <c r="J56" s="42">
        <f>'SoLR &amp; bad debt adders'!H71</f>
        <v>0</v>
      </c>
    </row>
    <row r="57" spans="2:12" x14ac:dyDescent="0.25">
      <c r="F57" s="6" t="s">
        <v>91</v>
      </c>
      <c r="H57" s="233" t="s">
        <v>94</v>
      </c>
      <c r="I57" s="6" t="s">
        <v>56</v>
      </c>
      <c r="J57" s="42">
        <f>'Revenue matching'!H433</f>
        <v>0</v>
      </c>
    </row>
    <row r="58" spans="2:12" x14ac:dyDescent="0.25">
      <c r="F58" s="6" t="s">
        <v>93</v>
      </c>
      <c r="H58" s="233" t="s">
        <v>96</v>
      </c>
      <c r="I58" s="6" t="s">
        <v>56</v>
      </c>
      <c r="J58" s="42">
        <f>Rounding!H178</f>
        <v>0</v>
      </c>
    </row>
    <row r="59" spans="2:12" x14ac:dyDescent="0.25">
      <c r="F59" s="6" t="s">
        <v>95</v>
      </c>
      <c r="H59" s="233" t="s">
        <v>884</v>
      </c>
      <c r="I59" s="6" t="s">
        <v>56</v>
      </c>
      <c r="J59" s="41">
        <f>'Net revenue summary'!$H$211</f>
        <v>0</v>
      </c>
    </row>
    <row r="60" spans="2:12" x14ac:dyDescent="0.25">
      <c r="F60" s="6" t="s">
        <v>97</v>
      </c>
      <c r="H60" s="233" t="s">
        <v>98</v>
      </c>
      <c r="I60" s="6" t="s">
        <v>56</v>
      </c>
      <c r="J60" s="42">
        <f>'Tariff summary'!$H$119</f>
        <v>0</v>
      </c>
    </row>
    <row r="61" spans="2:12" x14ac:dyDescent="0.25">
      <c r="F61" s="6" t="s">
        <v>99</v>
      </c>
      <c r="H61" s="233" t="s">
        <v>100</v>
      </c>
      <c r="I61" s="6" t="s">
        <v>56</v>
      </c>
      <c r="J61" s="41">
        <f>'Output to other models'!H84</f>
        <v>0</v>
      </c>
    </row>
    <row r="62" spans="2:12" x14ac:dyDescent="0.25">
      <c r="F62" s="43" t="s">
        <v>101</v>
      </c>
      <c r="G62" s="43"/>
      <c r="H62" s="43"/>
      <c r="I62" s="43" t="s">
        <v>56</v>
      </c>
      <c r="J62" s="406">
        <f>IFERROR(SUM(J38:J61), 1)</f>
        <v>0</v>
      </c>
    </row>
    <row r="64" spans="2:12" x14ac:dyDescent="0.25">
      <c r="B64" s="31" t="s">
        <v>102</v>
      </c>
      <c r="C64" s="31"/>
      <c r="D64" s="31"/>
      <c r="E64" s="31"/>
      <c r="F64" s="31"/>
      <c r="G64" s="32"/>
      <c r="H64" s="32"/>
      <c r="I64" s="32"/>
      <c r="J64" s="32"/>
      <c r="K64" s="32"/>
      <c r="L64" s="31"/>
    </row>
    <row r="66" spans="2:12" x14ac:dyDescent="0.25">
      <c r="F66" s="38" t="s">
        <v>103</v>
      </c>
    </row>
    <row r="67" spans="2:12" x14ac:dyDescent="0.25">
      <c r="F67" s="233" t="s">
        <v>104</v>
      </c>
    </row>
    <row r="68" spans="2:12" x14ac:dyDescent="0.25">
      <c r="F68" s="233" t="s">
        <v>105</v>
      </c>
    </row>
    <row r="69" spans="2:12" x14ac:dyDescent="0.25">
      <c r="F69" s="233" t="s">
        <v>45</v>
      </c>
    </row>
    <row r="70" spans="2:12" ht="30" x14ac:dyDescent="0.25">
      <c r="F70" s="286" t="s">
        <v>821</v>
      </c>
    </row>
    <row r="71" spans="2:12" x14ac:dyDescent="0.25">
      <c r="F71" s="233"/>
    </row>
    <row r="72" spans="2:12" x14ac:dyDescent="0.25">
      <c r="F72" s="233"/>
    </row>
    <row r="73" spans="2:12" x14ac:dyDescent="0.25">
      <c r="F73" s="233"/>
    </row>
    <row r="74" spans="2:12" x14ac:dyDescent="0.25">
      <c r="F74" s="233"/>
    </row>
    <row r="75" spans="2:12" x14ac:dyDescent="0.25">
      <c r="F75" s="233"/>
    </row>
    <row r="76" spans="2:12" x14ac:dyDescent="0.25">
      <c r="F76" s="233"/>
    </row>
    <row r="77" spans="2:12" x14ac:dyDescent="0.25">
      <c r="F77" s="233" t="s">
        <v>106</v>
      </c>
    </row>
    <row r="79" spans="2:12" x14ac:dyDescent="0.25">
      <c r="B79" s="31" t="s">
        <v>107</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formula1>0</formula1>
    </dataValidation>
    <dataValidation type="date" operator="greaterThan" allowBlank="1" showInputMessage="1" showErrorMessage="1" promptTitle="Model date" prompt="Input a date" sqref="F20:F28 F33">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formula1>$F$67:$F$77</formula1>
    </dataValidation>
    <dataValidation allowBlank="1" showErrorMessage="1" errorTitle="Author" error="Initials must be selected from the list specified below" promptTitle="Author" prompt="Select author initials from the list specified below" sqref="K29:K32"/>
    <dataValidation type="date" operator="greaterThanOrEqual" allowBlank="1" showInputMessage="1" showErrorMessage="1" promptTitle="Model date" prompt="Input a date" sqref="F29:F32">
      <formula1>1</formula1>
    </dataValidation>
  </dataValidations>
  <hyperlinks>
    <hyperlink ref="I67" location="'Cover'!A1" display="Cover"/>
    <hyperlink ref="I68" location="'Version control'!A1" display="Version control"/>
    <hyperlink ref="I77" location="'Model map'!A1" display="Model map"/>
    <hyperlink ref="I78"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190</v>
      </c>
      <c r="G22" s="19" t="s">
        <v>270</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192</v>
      </c>
      <c r="G23" t="s">
        <v>270</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193</v>
      </c>
      <c r="G24" t="s">
        <v>270</v>
      </c>
      <c r="H24" s="256"/>
      <c r="I24" s="256"/>
      <c r="J24" s="268">
        <f>'Initial unit rates'!J154</f>
        <v>2.8748902672638721</v>
      </c>
      <c r="K24" s="268">
        <f>'Initial unit rates'!K154</f>
        <v>2.8748902672638721</v>
      </c>
      <c r="L24" s="268">
        <f>'Initial unit rates'!L154</f>
        <v>3.0818857431416173</v>
      </c>
      <c r="M24" s="268">
        <f>'Initial unit rates'!M154</f>
        <v>3.0818857431416173</v>
      </c>
      <c r="N24" s="268">
        <f>'Initial unit rates'!N154</f>
        <v>2.4256898210540281</v>
      </c>
      <c r="O24" s="268">
        <f>'Initial unit rates'!O154</f>
        <v>2.3185152371447568</v>
      </c>
      <c r="P24" s="268">
        <f>'Initial unit rates'!P154</f>
        <v>2.0447642069589094</v>
      </c>
      <c r="Q24" s="268">
        <f>'Initial unit rates'!Q154</f>
        <v>6.5236536120911941</v>
      </c>
      <c r="R24" s="268">
        <f>'Initial unit rates'!R154</f>
        <v>-1.9714969270150207</v>
      </c>
      <c r="S24" s="268">
        <f>'Initial unit rates'!S154</f>
        <v>-1.9435456473314423</v>
      </c>
      <c r="T24" s="268">
        <f>'Initial unit rates'!T154</f>
        <v>-1.9714969270150207</v>
      </c>
      <c r="U24" s="268">
        <f>'Initial unit rates'!U154</f>
        <v>-1.9714969270150207</v>
      </c>
      <c r="V24" s="268">
        <f>'Initial unit rates'!V154</f>
        <v>-1.9435456473314423</v>
      </c>
      <c r="W24" s="268">
        <f>'Initial unit rates'!W154</f>
        <v>-1.9435456473314423</v>
      </c>
      <c r="X24" s="268">
        <f>'Initial unit rates'!X154</f>
        <v>-1.9211846235845802</v>
      </c>
      <c r="Y24" s="268">
        <f>'Initial unit rates'!Y154</f>
        <v>-1.9211846235845802</v>
      </c>
      <c r="Z24" s="256"/>
      <c r="AA24" s="256"/>
    </row>
    <row r="25" spans="3:27" x14ac:dyDescent="0.25">
      <c r="D25"/>
      <c r="F25" t="s">
        <v>194</v>
      </c>
      <c r="G25" t="s">
        <v>270</v>
      </c>
      <c r="H25" s="256"/>
      <c r="I25" s="256"/>
      <c r="J25" s="268">
        <f>'Initial unit rates'!J155</f>
        <v>0.41180353147708143</v>
      </c>
      <c r="K25" s="268">
        <f>'Initial unit rates'!K155</f>
        <v>0.41180353147708143</v>
      </c>
      <c r="L25" s="268">
        <f>'Initial unit rates'!L155</f>
        <v>0.44145386941758374</v>
      </c>
      <c r="M25" s="268">
        <f>'Initial unit rates'!M155</f>
        <v>0.44145386941758374</v>
      </c>
      <c r="N25" s="268">
        <f>'Initial unit rates'!N155</f>
        <v>0.34745939556460081</v>
      </c>
      <c r="O25" s="268">
        <f>'Initial unit rates'!O155</f>
        <v>0.33210754974252388</v>
      </c>
      <c r="P25" s="268">
        <f>'Initial unit rates'!P155</f>
        <v>9.6655365683732244E-2</v>
      </c>
      <c r="Q25" s="268">
        <f>'Initial unit rates'!Q155</f>
        <v>0.93445778650507194</v>
      </c>
      <c r="R25" s="268">
        <f>'Initial unit rates'!R155</f>
        <v>-0.28240013404535347</v>
      </c>
      <c r="S25" s="268">
        <f>'Initial unit rates'!S155</f>
        <v>-0.27839635142656299</v>
      </c>
      <c r="T25" s="268">
        <f>'Initial unit rates'!T155</f>
        <v>-0.28240013404535347</v>
      </c>
      <c r="U25" s="268">
        <f>'Initial unit rates'!U155</f>
        <v>-0.28240013404535347</v>
      </c>
      <c r="V25" s="268">
        <f>'Initial unit rates'!V155</f>
        <v>-0.27839635142656299</v>
      </c>
      <c r="W25" s="268">
        <f>'Initial unit rates'!W155</f>
        <v>-0.27839635142656299</v>
      </c>
      <c r="X25" s="268">
        <f>'Initial unit rates'!X155</f>
        <v>-9.0813797359405105E-2</v>
      </c>
      <c r="Y25" s="268">
        <f>'Initial unit rates'!Y155</f>
        <v>-9.0813797359405105E-2</v>
      </c>
      <c r="Z25" s="256"/>
      <c r="AA25" s="256"/>
    </row>
    <row r="26" spans="3:27" x14ac:dyDescent="0.25">
      <c r="D26"/>
      <c r="F26" t="s">
        <v>195</v>
      </c>
      <c r="G26" t="s">
        <v>270</v>
      </c>
      <c r="H26" s="256"/>
      <c r="I26" s="256"/>
      <c r="J26" s="268">
        <f>'Initial unit rates'!J156</f>
        <v>0.96465829989243546</v>
      </c>
      <c r="K26" s="268">
        <f>'Initial unit rates'!K156</f>
        <v>0.96465829989243546</v>
      </c>
      <c r="L26" s="268">
        <f>'Initial unit rates'!L156</f>
        <v>1.0341148305014085</v>
      </c>
      <c r="M26" s="268">
        <f>'Initial unit rates'!M156</f>
        <v>1.0341148305014085</v>
      </c>
      <c r="N26" s="268">
        <f>'Initial unit rates'!N156</f>
        <v>0.81393082911348258</v>
      </c>
      <c r="O26" s="268">
        <f>'Initial unit rates'!O156</f>
        <v>0.7779688123774513</v>
      </c>
      <c r="P26" s="268">
        <f>'Initial unit rates'!P156</f>
        <v>0.22641719560178158</v>
      </c>
      <c r="Q26" s="268">
        <f>'Initial unit rates'!Q156</f>
        <v>2.0500019935121578</v>
      </c>
      <c r="R26" s="268">
        <f>'Initial unit rates'!R156</f>
        <v>-0.66152816179223994</v>
      </c>
      <c r="S26" s="268">
        <f>'Initial unit rates'!S156</f>
        <v>-0.65214921809953341</v>
      </c>
      <c r="T26" s="268">
        <f>'Initial unit rates'!T156</f>
        <v>-0.66152816179223994</v>
      </c>
      <c r="U26" s="268">
        <f>'Initial unit rates'!U156</f>
        <v>-0.66152816179223994</v>
      </c>
      <c r="V26" s="268">
        <f>'Initial unit rates'!V156</f>
        <v>-0.65214921809953341</v>
      </c>
      <c r="W26" s="268">
        <f>'Initial unit rates'!W156</f>
        <v>-0.65214921809953341</v>
      </c>
      <c r="X26" s="268">
        <f>'Initial unit rates'!X156</f>
        <v>-0.21273320083797143</v>
      </c>
      <c r="Y26" s="268">
        <f>'Initial unit rates'!Y156</f>
        <v>-0.21273320083797143</v>
      </c>
      <c r="Z26" s="256"/>
      <c r="AA26" s="256"/>
    </row>
    <row r="27" spans="3:27" x14ac:dyDescent="0.25">
      <c r="D27"/>
      <c r="F27" t="s">
        <v>196</v>
      </c>
      <c r="G27" t="s">
        <v>270</v>
      </c>
      <c r="H27" s="256"/>
      <c r="I27" s="256"/>
      <c r="J27" s="268">
        <f>'Initial unit rates'!J157</f>
        <v>0.14497100961163584</v>
      </c>
      <c r="K27" s="268">
        <f>'Initial unit rates'!K157</f>
        <v>0.14497100961163584</v>
      </c>
      <c r="L27" s="268">
        <f>'Initial unit rates'!L157</f>
        <v>0.15540909257596328</v>
      </c>
      <c r="M27" s="268">
        <f>'Initial unit rates'!M157</f>
        <v>0.15540909257596328</v>
      </c>
      <c r="N27" s="268">
        <f>'Initial unit rates'!N157</f>
        <v>0.12231934775637615</v>
      </c>
      <c r="O27" s="268">
        <f>'Initial unit rates'!O157</f>
        <v>0.11691489534615554</v>
      </c>
      <c r="P27" s="268">
        <f>'Initial unit rates'!P157</f>
        <v>0</v>
      </c>
      <c r="Q27" s="268">
        <f>'Initial unit rates'!Q157</f>
        <v>0.30807889046148473</v>
      </c>
      <c r="R27" s="268">
        <f>'Initial unit rates'!R157</f>
        <v>-9.9415933613222679E-2</v>
      </c>
      <c r="S27" s="268">
        <f>'Initial unit rates'!S157</f>
        <v>-9.8006444951409505E-2</v>
      </c>
      <c r="T27" s="268">
        <f>'Initial unit rates'!T157</f>
        <v>-9.9415933613222679E-2</v>
      </c>
      <c r="U27" s="268">
        <f>'Initial unit rates'!U157</f>
        <v>-9.9415933613222679E-2</v>
      </c>
      <c r="V27" s="268">
        <f>'Initial unit rates'!V157</f>
        <v>-9.8006444951409505E-2</v>
      </c>
      <c r="W27" s="268">
        <f>'Initial unit rates'!W157</f>
        <v>-9.8006444951409505E-2</v>
      </c>
      <c r="X27" s="268">
        <f>'Initial unit rates'!X157</f>
        <v>0</v>
      </c>
      <c r="Y27" s="268">
        <f>'Initial unit rates'!Y157</f>
        <v>0</v>
      </c>
      <c r="Z27" s="256"/>
      <c r="AA27" s="256"/>
    </row>
    <row r="28" spans="3:27" x14ac:dyDescent="0.25">
      <c r="D28"/>
      <c r="F28" t="s">
        <v>197</v>
      </c>
      <c r="G28" t="s">
        <v>270</v>
      </c>
      <c r="H28" s="256"/>
      <c r="I28" s="256"/>
      <c r="J28" s="268">
        <f>'Initial unit rates'!J158</f>
        <v>0</v>
      </c>
      <c r="K28" s="268">
        <f>'Initial unit rates'!K158</f>
        <v>0</v>
      </c>
      <c r="L28" s="268">
        <f>'Initial unit rates'!L158</f>
        <v>0</v>
      </c>
      <c r="M28" s="268">
        <f>'Initial unit rates'!M158</f>
        <v>0</v>
      </c>
      <c r="N28" s="268">
        <f>'Initial unit rates'!N158</f>
        <v>0</v>
      </c>
      <c r="O28" s="268">
        <f>'Initial unit rates'!O158</f>
        <v>0</v>
      </c>
      <c r="P28" s="268">
        <f>'Initial unit rates'!P158</f>
        <v>0</v>
      </c>
      <c r="Q28" s="268">
        <f>'Initial unit rates'!Q158</f>
        <v>0</v>
      </c>
      <c r="R28" s="268">
        <f>'Initial unit rates'!R158</f>
        <v>0</v>
      </c>
      <c r="S28" s="268">
        <f>'Initial unit rates'!S158</f>
        <v>0</v>
      </c>
      <c r="T28" s="268">
        <f>'Initial unit rates'!T158</f>
        <v>0</v>
      </c>
      <c r="U28" s="268">
        <f>'Initial unit rates'!U158</f>
        <v>0</v>
      </c>
      <c r="V28" s="268">
        <f>'Initial unit rates'!V158</f>
        <v>0</v>
      </c>
      <c r="W28" s="268">
        <f>'Initial unit rates'!W158</f>
        <v>0</v>
      </c>
      <c r="X28" s="268">
        <f>'Initial unit rates'!X158</f>
        <v>0</v>
      </c>
      <c r="Y28" s="268">
        <f>'Initial unit rates'!Y158</f>
        <v>0</v>
      </c>
      <c r="Z28" s="256"/>
      <c r="AA28" s="256"/>
    </row>
    <row r="29" spans="3:27" x14ac:dyDescent="0.25">
      <c r="D29"/>
      <c r="F29" t="s">
        <v>198</v>
      </c>
      <c r="G29" t="s">
        <v>270</v>
      </c>
      <c r="H29" s="256"/>
      <c r="I29" s="256"/>
      <c r="J29" s="268">
        <f>'Initial unit rates'!J159</f>
        <v>0.6675927634417097</v>
      </c>
      <c r="K29" s="268">
        <f>'Initial unit rates'!K159</f>
        <v>0.6675927634417097</v>
      </c>
      <c r="L29" s="268">
        <f>'Initial unit rates'!L159</f>
        <v>0.7156602265148917</v>
      </c>
      <c r="M29" s="268">
        <f>'Initial unit rates'!M159</f>
        <v>0.7156602265148917</v>
      </c>
      <c r="N29" s="268">
        <f>'Initial unit rates'!N159</f>
        <v>0.56328166307060334</v>
      </c>
      <c r="O29" s="268">
        <f>'Initial unit rates'!O159</f>
        <v>0.53839411259348502</v>
      </c>
      <c r="P29" s="268">
        <f>'Initial unit rates'!P159</f>
        <v>0</v>
      </c>
      <c r="Q29" s="268">
        <f>'Initial unit rates'!Q159</f>
        <v>1.4187059770930266</v>
      </c>
      <c r="R29" s="268">
        <f>'Initial unit rates'!R159</f>
        <v>-0.45781124121840888</v>
      </c>
      <c r="S29" s="268">
        <f>'Initial unit rates'!S159</f>
        <v>-0.45132053363969793</v>
      </c>
      <c r="T29" s="268">
        <f>'Initial unit rates'!T159</f>
        <v>-0.45781124121840888</v>
      </c>
      <c r="U29" s="268">
        <f>'Initial unit rates'!U159</f>
        <v>-0.45781124121840888</v>
      </c>
      <c r="V29" s="268">
        <f>'Initial unit rates'!V159</f>
        <v>-0.45132053363969793</v>
      </c>
      <c r="W29" s="268">
        <f>'Initial unit rates'!W159</f>
        <v>-0.45132053363969793</v>
      </c>
      <c r="X29" s="268">
        <f>'Initial unit rates'!X159</f>
        <v>0</v>
      </c>
      <c r="Y29" s="268">
        <f>'Initial unit rates'!Y159</f>
        <v>0</v>
      </c>
      <c r="Z29" s="256"/>
      <c r="AA29" s="256"/>
    </row>
    <row r="30" spans="3:27" x14ac:dyDescent="0.25">
      <c r="D30"/>
      <c r="F30" t="s">
        <v>199</v>
      </c>
      <c r="G30" t="s">
        <v>270</v>
      </c>
      <c r="H30" s="256"/>
      <c r="I30" s="256"/>
      <c r="J30" s="268">
        <f>'Initial unit rates'!J160</f>
        <v>7.2079818597366105E-2</v>
      </c>
      <c r="K30" s="268">
        <f>'Initial unit rates'!K160</f>
        <v>7.2079818597366105E-2</v>
      </c>
      <c r="L30" s="268">
        <f>'Initial unit rates'!L160</f>
        <v>7.7269650196032089E-2</v>
      </c>
      <c r="M30" s="268">
        <f>'Initial unit rates'!M160</f>
        <v>7.7269650196032089E-2</v>
      </c>
      <c r="N30" s="268">
        <f>'Initial unit rates'!N160</f>
        <v>6.0817375976390212E-2</v>
      </c>
      <c r="O30" s="268">
        <f>'Initial unit rates'!O160</f>
        <v>5.8130273566119516E-2</v>
      </c>
      <c r="P30" s="268">
        <f>'Initial unit rates'!P160</f>
        <v>0</v>
      </c>
      <c r="Q30" s="268">
        <f>'Initial unit rates'!Q160</f>
        <v>0.15317731867654244</v>
      </c>
      <c r="R30" s="268">
        <f>'Initial unit rates'!R160</f>
        <v>-4.9429761713915284E-2</v>
      </c>
      <c r="S30" s="268">
        <f>'Initial unit rates'!S160</f>
        <v>0</v>
      </c>
      <c r="T30" s="268">
        <f>'Initial unit rates'!T160</f>
        <v>-4.9429761713915284E-2</v>
      </c>
      <c r="U30" s="268">
        <f>'Initial unit rates'!U160</f>
        <v>-4.9429761713915284E-2</v>
      </c>
      <c r="V30" s="268">
        <f>'Initial unit rates'!V160</f>
        <v>0</v>
      </c>
      <c r="W30" s="268">
        <f>'Initial unit rates'!W160</f>
        <v>0</v>
      </c>
      <c r="X30" s="268">
        <f>'Initial unit rates'!X160</f>
        <v>0</v>
      </c>
      <c r="Y30" s="268">
        <f>'Initial unit rates'!Y160</f>
        <v>0</v>
      </c>
      <c r="Z30" s="256"/>
      <c r="AA30" s="256"/>
    </row>
    <row r="31" spans="3:27" x14ac:dyDescent="0.25">
      <c r="D31"/>
      <c r="F31" t="s">
        <v>200</v>
      </c>
      <c r="G31" t="s">
        <v>270</v>
      </c>
      <c r="H31" s="256"/>
      <c r="I31" s="256"/>
      <c r="J31" s="268">
        <f>'Initial unit rates'!J161</f>
        <v>0.17787894080557329</v>
      </c>
      <c r="K31" s="268">
        <f>'Initial unit rates'!K161</f>
        <v>0.17787894080557329</v>
      </c>
      <c r="L31" s="268">
        <f>'Initial unit rates'!L161</f>
        <v>0.19068643346710082</v>
      </c>
      <c r="M31" s="268">
        <f>'Initial unit rates'!M161</f>
        <v>0.19068643346710082</v>
      </c>
      <c r="N31" s="268">
        <f>'Initial unit rates'!N161</f>
        <v>0.15008542795708307</v>
      </c>
      <c r="O31" s="268">
        <f>'Initial unit rates'!O161</f>
        <v>0</v>
      </c>
      <c r="P31" s="268">
        <f>'Initial unit rates'!P161</f>
        <v>0</v>
      </c>
      <c r="Q31" s="268">
        <f>'Initial unit rates'!Q161</f>
        <v>0.37801176156978805</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270</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270</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190</v>
      </c>
      <c r="G36" s="19" t="s">
        <v>270</v>
      </c>
      <c r="H36" s="255"/>
      <c r="I36" s="255"/>
      <c r="J36" s="267">
        <f>'Initial unit rates'!J164</f>
        <v>0.99751119697271196</v>
      </c>
      <c r="K36" s="267">
        <f>'Initial unit rates'!K164</f>
        <v>0.99751119697271196</v>
      </c>
      <c r="L36" s="267">
        <f>'Initial unit rates'!L164</f>
        <v>1.0693331747580623</v>
      </c>
      <c r="M36" s="267">
        <f>'Initial unit rates'!M164</f>
        <v>1.0693331747580623</v>
      </c>
      <c r="N36" s="267">
        <f>'Initial unit rates'!N164</f>
        <v>0.8416504742586195</v>
      </c>
      <c r="O36" s="267">
        <f>'Initial unit rates'!O164</f>
        <v>0.80446371666382011</v>
      </c>
      <c r="P36" s="267">
        <f>'Initial unit rates'!P164</f>
        <v>0.70947931990175273</v>
      </c>
      <c r="Q36" s="267">
        <f>'Initial unit rates'!Q164</f>
        <v>2.4288328971656692</v>
      </c>
      <c r="R36" s="267">
        <f>'Initial unit rates'!R164</f>
        <v>-0.68405750365089435</v>
      </c>
      <c r="S36" s="267">
        <f>'Initial unit rates'!S164</f>
        <v>-0.6743591458486603</v>
      </c>
      <c r="T36" s="267">
        <f>'Initial unit rates'!T164</f>
        <v>-0.68405750365089435</v>
      </c>
      <c r="U36" s="267">
        <f>'Initial unit rates'!U164</f>
        <v>-0.68405750365089435</v>
      </c>
      <c r="V36" s="267">
        <f>'Initial unit rates'!V164</f>
        <v>-0.6743591458486603</v>
      </c>
      <c r="W36" s="267">
        <f>'Initial unit rates'!W164</f>
        <v>-0.6743591458486603</v>
      </c>
      <c r="X36" s="267">
        <f>'Initial unit rates'!X164</f>
        <v>-0.66660045960687331</v>
      </c>
      <c r="Y36" s="267">
        <f>'Initial unit rates'!Y164</f>
        <v>-0.66660045960687331</v>
      </c>
      <c r="Z36" s="256"/>
      <c r="AA36" s="256"/>
    </row>
    <row r="37" spans="4:27" x14ac:dyDescent="0.25">
      <c r="D37"/>
      <c r="F37" t="s">
        <v>192</v>
      </c>
      <c r="G37" t="s">
        <v>270</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193</v>
      </c>
      <c r="G38" t="s">
        <v>270</v>
      </c>
      <c r="H38" s="256"/>
      <c r="I38" s="256"/>
      <c r="J38" s="268">
        <f>'Initial unit rates'!J166</f>
        <v>2.6044011836027741</v>
      </c>
      <c r="K38" s="268">
        <f>'Initial unit rates'!K166</f>
        <v>2.6044011836027741</v>
      </c>
      <c r="L38" s="268">
        <f>'Initial unit rates'!L166</f>
        <v>2.7919211277603293</v>
      </c>
      <c r="M38" s="268">
        <f>'Initial unit rates'!M166</f>
        <v>2.7919211277603293</v>
      </c>
      <c r="N38" s="268">
        <f>'Initial unit rates'!N166</f>
        <v>2.1974645477578023</v>
      </c>
      <c r="O38" s="268">
        <f>'Initial unit rates'!O166</f>
        <v>2.1003736721985438</v>
      </c>
      <c r="P38" s="268">
        <f>'Initial unit rates'!P166</f>
        <v>1.8523789869241576</v>
      </c>
      <c r="Q38" s="268">
        <f>'Initial unit rates'!Q166</f>
        <v>5.9098642415019764</v>
      </c>
      <c r="R38" s="268">
        <f>'Initial unit rates'!R166</f>
        <v>-1.7860051872775966</v>
      </c>
      <c r="S38" s="268">
        <f>'Initial unit rates'!S166</f>
        <v>-1.7606837526753618</v>
      </c>
      <c r="T38" s="268">
        <f>'Initial unit rates'!T166</f>
        <v>-1.7860051872775966</v>
      </c>
      <c r="U38" s="268">
        <f>'Initial unit rates'!U166</f>
        <v>-1.7860051872775966</v>
      </c>
      <c r="V38" s="268">
        <f>'Initial unit rates'!V166</f>
        <v>-1.7606837526753618</v>
      </c>
      <c r="W38" s="268">
        <f>'Initial unit rates'!W166</f>
        <v>-1.7606837526753618</v>
      </c>
      <c r="X38" s="268">
        <f>'Initial unit rates'!X166</f>
        <v>-1.7404266049935746</v>
      </c>
      <c r="Y38" s="268">
        <f>'Initial unit rates'!Y166</f>
        <v>-1.7404266049935746</v>
      </c>
      <c r="Z38" s="256"/>
      <c r="AA38" s="256"/>
    </row>
    <row r="39" spans="4:27" x14ac:dyDescent="0.25">
      <c r="D39"/>
      <c r="F39" t="s">
        <v>194</v>
      </c>
      <c r="G39" t="s">
        <v>270</v>
      </c>
      <c r="H39" s="256"/>
      <c r="I39" s="256"/>
      <c r="J39" s="268">
        <f>'Initial unit rates'!J167</f>
        <v>0.37305827530295571</v>
      </c>
      <c r="K39" s="268">
        <f>'Initial unit rates'!K167</f>
        <v>0.37305827530295571</v>
      </c>
      <c r="L39" s="268">
        <f>'Initial unit rates'!L167</f>
        <v>0.39991890929159163</v>
      </c>
      <c r="M39" s="268">
        <f>'Initial unit rates'!M167</f>
        <v>0.39991890929159163</v>
      </c>
      <c r="N39" s="268">
        <f>'Initial unit rates'!N167</f>
        <v>0.31476807006049551</v>
      </c>
      <c r="O39" s="268">
        <f>'Initial unit rates'!O167</f>
        <v>0.30086062952797138</v>
      </c>
      <c r="P39" s="268">
        <f>'Initial unit rates'!P167</f>
        <v>0.26533750422944113</v>
      </c>
      <c r="Q39" s="268">
        <f>'Initial unit rates'!Q167</f>
        <v>0.84653768977306876</v>
      </c>
      <c r="R39" s="268">
        <f>'Initial unit rates'!R167</f>
        <v>-0.25583002305590069</v>
      </c>
      <c r="S39" s="268">
        <f>'Initial unit rates'!S167</f>
        <v>-0.25220294333393606</v>
      </c>
      <c r="T39" s="268">
        <f>'Initial unit rates'!T167</f>
        <v>-0.25583002305590069</v>
      </c>
      <c r="U39" s="268">
        <f>'Initial unit rates'!U167</f>
        <v>-0.25583002305590069</v>
      </c>
      <c r="V39" s="268">
        <f>'Initial unit rates'!V167</f>
        <v>-0.25220294333393606</v>
      </c>
      <c r="W39" s="268">
        <f>'Initial unit rates'!W167</f>
        <v>-0.25220294333393606</v>
      </c>
      <c r="X39" s="268">
        <f>'Initial unit rates'!X167</f>
        <v>-0.24930127955636441</v>
      </c>
      <c r="Y39" s="268">
        <f>'Initial unit rates'!Y167</f>
        <v>-0.24930127955636441</v>
      </c>
      <c r="Z39" s="256"/>
      <c r="AA39" s="256"/>
    </row>
    <row r="40" spans="4:27" x14ac:dyDescent="0.25">
      <c r="D40"/>
      <c r="F40" t="s">
        <v>195</v>
      </c>
      <c r="G40" t="s">
        <v>270</v>
      </c>
      <c r="H40" s="256"/>
      <c r="I40" s="256"/>
      <c r="J40" s="268">
        <f>'Initial unit rates'!J168</f>
        <v>0.87389673498849474</v>
      </c>
      <c r="K40" s="268">
        <f>'Initial unit rates'!K168</f>
        <v>0.87389673498849474</v>
      </c>
      <c r="L40" s="268">
        <f>'Initial unit rates'!L168</f>
        <v>0.93681832632252271</v>
      </c>
      <c r="M40" s="268">
        <f>'Initial unit rates'!M168</f>
        <v>0.93681832632252271</v>
      </c>
      <c r="N40" s="268">
        <f>'Initial unit rates'!N168</f>
        <v>0.73735072216562458</v>
      </c>
      <c r="O40" s="268">
        <f>'Initial unit rates'!O168</f>
        <v>0.70477225473034344</v>
      </c>
      <c r="P40" s="268">
        <f>'Initial unit rates'!P168</f>
        <v>0.62155859812464898</v>
      </c>
      <c r="Q40" s="268">
        <f>'Initial unit rates'!Q168</f>
        <v>1.8571239671601241</v>
      </c>
      <c r="R40" s="268">
        <f>'Initial unit rates'!R168</f>
        <v>-0.59928712659979322</v>
      </c>
      <c r="S40" s="268">
        <f>'Initial unit rates'!S168</f>
        <v>-0.59079061724346338</v>
      </c>
      <c r="T40" s="268">
        <f>'Initial unit rates'!T168</f>
        <v>-0.59928712659979322</v>
      </c>
      <c r="U40" s="268">
        <f>'Initial unit rates'!U168</f>
        <v>-0.59928712659979322</v>
      </c>
      <c r="V40" s="268">
        <f>'Initial unit rates'!V168</f>
        <v>-0.59079061724346338</v>
      </c>
      <c r="W40" s="268">
        <f>'Initial unit rates'!W168</f>
        <v>-0.59079061724346338</v>
      </c>
      <c r="X40" s="268">
        <f>'Initial unit rates'!X168</f>
        <v>-0.58399340975839953</v>
      </c>
      <c r="Y40" s="268">
        <f>'Initial unit rates'!Y168</f>
        <v>-0.58399340975839953</v>
      </c>
      <c r="Z40" s="256"/>
      <c r="AA40" s="256"/>
    </row>
    <row r="41" spans="4:27" x14ac:dyDescent="0.25">
      <c r="D41"/>
      <c r="F41" t="s">
        <v>196</v>
      </c>
      <c r="G41" t="s">
        <v>270</v>
      </c>
      <c r="H41" s="256"/>
      <c r="I41" s="256"/>
      <c r="J41" s="268">
        <f>'Initial unit rates'!J169</f>
        <v>0.69121662306266674</v>
      </c>
      <c r="K41" s="268">
        <f>'Initial unit rates'!K169</f>
        <v>0.69121662306266674</v>
      </c>
      <c r="L41" s="268">
        <f>'Initial unit rates'!L169</f>
        <v>0.74098503177540609</v>
      </c>
      <c r="M41" s="268">
        <f>'Initial unit rates'!M169</f>
        <v>0.74098503177540609</v>
      </c>
      <c r="N41" s="268">
        <f>'Initial unit rates'!N169</f>
        <v>0.58321430414184072</v>
      </c>
      <c r="O41" s="268">
        <f>'Initial unit rates'!O169</f>
        <v>0.55744606706807642</v>
      </c>
      <c r="P41" s="268">
        <f>'Initial unit rates'!P169</f>
        <v>0.4916274635548803</v>
      </c>
      <c r="Q41" s="268">
        <f>'Initial unit rates'!Q169</f>
        <v>1.4689092037928988</v>
      </c>
      <c r="R41" s="268">
        <f>'Initial unit rates'!R169</f>
        <v>-0.47401163925700163</v>
      </c>
      <c r="S41" s="268">
        <f>'Initial unit rates'!S169</f>
        <v>-0.46729124739607997</v>
      </c>
      <c r="T41" s="268">
        <f>'Initial unit rates'!T169</f>
        <v>-0.47401163925700163</v>
      </c>
      <c r="U41" s="268">
        <f>'Initial unit rates'!U169</f>
        <v>-0.47401163925700163</v>
      </c>
      <c r="V41" s="268">
        <f>'Initial unit rates'!V169</f>
        <v>-0.46729124739607997</v>
      </c>
      <c r="W41" s="268">
        <f>'Initial unit rates'!W169</f>
        <v>-0.46729124739607997</v>
      </c>
      <c r="X41" s="268">
        <f>'Initial unit rates'!X169</f>
        <v>-0.46191493390734273</v>
      </c>
      <c r="Y41" s="268">
        <f>'Initial unit rates'!Y169</f>
        <v>-0.46191493390734273</v>
      </c>
      <c r="Z41" s="256"/>
      <c r="AA41" s="256"/>
    </row>
    <row r="42" spans="4:27" x14ac:dyDescent="0.25">
      <c r="D42"/>
      <c r="F42" t="s">
        <v>197</v>
      </c>
      <c r="G42" t="s">
        <v>270</v>
      </c>
      <c r="H42" s="256"/>
      <c r="I42" s="256"/>
      <c r="J42" s="268">
        <f>'Initial unit rates'!J170</f>
        <v>0</v>
      </c>
      <c r="K42" s="268">
        <f>'Initial unit rates'!K170</f>
        <v>0</v>
      </c>
      <c r="L42" s="268">
        <f>'Initial unit rates'!L170</f>
        <v>0</v>
      </c>
      <c r="M42" s="268">
        <f>'Initial unit rates'!M170</f>
        <v>0</v>
      </c>
      <c r="N42" s="268">
        <f>'Initial unit rates'!N170</f>
        <v>0</v>
      </c>
      <c r="O42" s="268">
        <f>'Initial unit rates'!O170</f>
        <v>0</v>
      </c>
      <c r="P42" s="268">
        <f>'Initial unit rates'!P170</f>
        <v>0</v>
      </c>
      <c r="Q42" s="268">
        <f>'Initial unit rates'!Q170</f>
        <v>0</v>
      </c>
      <c r="R42" s="268">
        <f>'Initial unit rates'!R170</f>
        <v>0</v>
      </c>
      <c r="S42" s="268">
        <f>'Initial unit rates'!S170</f>
        <v>0</v>
      </c>
      <c r="T42" s="268">
        <f>'Initial unit rates'!T170</f>
        <v>0</v>
      </c>
      <c r="U42" s="268">
        <f>'Initial unit rates'!U170</f>
        <v>0</v>
      </c>
      <c r="V42" s="268">
        <f>'Initial unit rates'!V170</f>
        <v>0</v>
      </c>
      <c r="W42" s="268">
        <f>'Initial unit rates'!W170</f>
        <v>0</v>
      </c>
      <c r="X42" s="268">
        <f>'Initial unit rates'!X170</f>
        <v>0</v>
      </c>
      <c r="Y42" s="268">
        <f>'Initial unit rates'!Y170</f>
        <v>0</v>
      </c>
      <c r="Z42" s="256"/>
      <c r="AA42" s="256"/>
    </row>
    <row r="43" spans="4:27" x14ac:dyDescent="0.25">
      <c r="D43"/>
      <c r="F43" t="s">
        <v>198</v>
      </c>
      <c r="G43" t="s">
        <v>270</v>
      </c>
      <c r="H43" s="256"/>
      <c r="I43" s="256"/>
      <c r="J43" s="268">
        <f>'Initial unit rates'!J171</f>
        <v>3.1830585767695077</v>
      </c>
      <c r="K43" s="268">
        <f>'Initial unit rates'!K171</f>
        <v>3.1830585767695077</v>
      </c>
      <c r="L43" s="268">
        <f>'Initial unit rates'!L171</f>
        <v>3.4122425328834987</v>
      </c>
      <c r="M43" s="268">
        <f>'Initial unit rates'!M171</f>
        <v>3.4122425328834987</v>
      </c>
      <c r="N43" s="268">
        <f>'Initial unit rates'!N171</f>
        <v>2.6857069563343559</v>
      </c>
      <c r="O43" s="268">
        <f>'Initial unit rates'!O171</f>
        <v>2.5670439999047927</v>
      </c>
      <c r="P43" s="268">
        <f>'Initial unit rates'!P171</f>
        <v>2.2639487567733538</v>
      </c>
      <c r="Q43" s="268">
        <f>'Initial unit rates'!Q171</f>
        <v>6.7643396926881421</v>
      </c>
      <c r="R43" s="268">
        <f>'Initial unit rates'!R171</f>
        <v>-2.1828277322676337</v>
      </c>
      <c r="S43" s="268">
        <f>'Initial unit rates'!S171</f>
        <v>-2.1518802691447472</v>
      </c>
      <c r="T43" s="268">
        <f>'Initial unit rates'!T171</f>
        <v>-2.1828277322676337</v>
      </c>
      <c r="U43" s="268">
        <f>'Initial unit rates'!U171</f>
        <v>-2.1828277322676337</v>
      </c>
      <c r="V43" s="268">
        <f>'Initial unit rates'!V171</f>
        <v>-2.1518802691447472</v>
      </c>
      <c r="W43" s="268">
        <f>'Initial unit rates'!W171</f>
        <v>-2.1518802691447472</v>
      </c>
      <c r="X43" s="268">
        <f>'Initial unit rates'!X171</f>
        <v>0</v>
      </c>
      <c r="Y43" s="268">
        <f>'Initial unit rates'!Y171</f>
        <v>0</v>
      </c>
      <c r="Z43" s="256"/>
      <c r="AA43" s="256"/>
    </row>
    <row r="44" spans="4:27" x14ac:dyDescent="0.25">
      <c r="D44"/>
      <c r="F44" t="s">
        <v>199</v>
      </c>
      <c r="G44" t="s">
        <v>270</v>
      </c>
      <c r="H44" s="256"/>
      <c r="I44" s="256"/>
      <c r="J44" s="268">
        <f>'Initial unit rates'!J172</f>
        <v>1.3059612535925915</v>
      </c>
      <c r="K44" s="268">
        <f>'Initial unit rates'!K172</f>
        <v>1.3059612535925915</v>
      </c>
      <c r="L44" s="268">
        <f>'Initial unit rates'!L172</f>
        <v>1.3999919977373325</v>
      </c>
      <c r="M44" s="268">
        <f>'Initial unit rates'!M172</f>
        <v>1.3999919977373325</v>
      </c>
      <c r="N44" s="268">
        <f>'Initial unit rates'!N172</f>
        <v>1.1019053337800826</v>
      </c>
      <c r="O44" s="268">
        <f>'Initial unit rates'!O172</f>
        <v>1.0532197002624506</v>
      </c>
      <c r="P44" s="268">
        <f>'Initial unit rates'!P172</f>
        <v>0</v>
      </c>
      <c r="Q44" s="268">
        <f>'Initial unit rates'!Q172</f>
        <v>2.7753072498448144</v>
      </c>
      <c r="R44" s="268">
        <f>'Initial unit rates'!R172</f>
        <v>-0.89558152099798372</v>
      </c>
      <c r="S44" s="268">
        <f>'Initial unit rates'!S172</f>
        <v>0</v>
      </c>
      <c r="T44" s="268">
        <f>'Initial unit rates'!T172</f>
        <v>-0.89558152099798372</v>
      </c>
      <c r="U44" s="268">
        <f>'Initial unit rates'!U172</f>
        <v>-0.89558152099798372</v>
      </c>
      <c r="V44" s="268">
        <f>'Initial unit rates'!V172</f>
        <v>0</v>
      </c>
      <c r="W44" s="268">
        <f>'Initial unit rates'!W172</f>
        <v>0</v>
      </c>
      <c r="X44" s="268">
        <f>'Initial unit rates'!X172</f>
        <v>0</v>
      </c>
      <c r="Y44" s="268">
        <f>'Initial unit rates'!Y172</f>
        <v>0</v>
      </c>
      <c r="Z44" s="256"/>
      <c r="AA44" s="256"/>
    </row>
    <row r="45" spans="4:27" x14ac:dyDescent="0.25">
      <c r="D45"/>
      <c r="F45" t="s">
        <v>200</v>
      </c>
      <c r="G45" t="s">
        <v>270</v>
      </c>
      <c r="H45" s="256"/>
      <c r="I45" s="256"/>
      <c r="J45" s="268">
        <f>'Initial unit rates'!J173</f>
        <v>3.2228577851978337</v>
      </c>
      <c r="K45" s="268">
        <f>'Initial unit rates'!K173</f>
        <v>3.2228577851978337</v>
      </c>
      <c r="L45" s="268">
        <f>'Initial unit rates'!L173</f>
        <v>3.4549073310638887</v>
      </c>
      <c r="M45" s="268">
        <f>'Initial unit rates'!M173</f>
        <v>3.4549073310638887</v>
      </c>
      <c r="N45" s="268">
        <f>'Initial unit rates'!N173</f>
        <v>2.719287554477491</v>
      </c>
      <c r="O45" s="268">
        <f>'Initial unit rates'!O173</f>
        <v>0</v>
      </c>
      <c r="P45" s="268">
        <f>'Initial unit rates'!P173</f>
        <v>0</v>
      </c>
      <c r="Q45" s="268">
        <f>'Initial unit rates'!Q173</f>
        <v>6.848917264484677</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270</v>
      </c>
      <c r="H46" s="255"/>
      <c r="I46" s="255" t="s">
        <v>155</v>
      </c>
      <c r="J46" s="269"/>
      <c r="K46" s="269"/>
      <c r="L46" s="269"/>
      <c r="M46" s="269"/>
      <c r="N46" s="269"/>
      <c r="O46" s="269"/>
      <c r="P46" s="269"/>
      <c r="Q46" s="267">
        <f>'Service model charges'!$Q$44</f>
        <v>1.1691343166507271</v>
      </c>
      <c r="R46" s="269"/>
      <c r="S46" s="269"/>
      <c r="T46" s="269"/>
      <c r="U46" s="269"/>
      <c r="V46" s="269"/>
      <c r="W46" s="269"/>
      <c r="X46" s="269"/>
      <c r="Y46" s="269"/>
      <c r="Z46" s="256"/>
      <c r="AA46" s="256" t="s">
        <v>653</v>
      </c>
    </row>
    <row r="47" spans="4:27" x14ac:dyDescent="0.25">
      <c r="D47"/>
      <c r="F47" s="28" t="s">
        <v>376</v>
      </c>
      <c r="G47" s="28" t="s">
        <v>270</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190</v>
      </c>
      <c r="G52" s="19" t="s">
        <v>270</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192</v>
      </c>
      <c r="G53" t="s">
        <v>270</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193</v>
      </c>
      <c r="G54" t="s">
        <v>270</v>
      </c>
      <c r="H54" s="256"/>
      <c r="I54" s="256"/>
      <c r="J54" s="268">
        <f>'Initial unit rates'!J183</f>
        <v>6.3517458469508695E-2</v>
      </c>
      <c r="K54" s="268">
        <f>'Initial unit rates'!K183</f>
        <v>6.3517458469508695E-2</v>
      </c>
      <c r="L54" s="268">
        <f>'Initial unit rates'!L183</f>
        <v>6.8090790082250247E-2</v>
      </c>
      <c r="M54" s="268">
        <f>'Initial unit rates'!M183</f>
        <v>6.8090790082250247E-2</v>
      </c>
      <c r="N54" s="268">
        <f>'Initial unit rates'!N183</f>
        <v>5.3592881169459795E-2</v>
      </c>
      <c r="O54" s="268">
        <f>'Initial unit rates'!O183</f>
        <v>5.1224979597716366E-2</v>
      </c>
      <c r="P54" s="268">
        <f>'Initial unit rates'!P183</f>
        <v>4.5176759292124141E-2</v>
      </c>
      <c r="Q54" s="268">
        <f>'Initial unit rates'!Q183</f>
        <v>7.4515203183281836E-2</v>
      </c>
      <c r="R54" s="268">
        <f>'Initial unit rates'!R183</f>
        <v>-4.35580013645602E-2</v>
      </c>
      <c r="S54" s="268">
        <f>'Initial unit rates'!S183</f>
        <v>-4.2940449360336752E-2</v>
      </c>
      <c r="T54" s="268">
        <f>'Initial unit rates'!T183</f>
        <v>-4.35580013645602E-2</v>
      </c>
      <c r="U54" s="268">
        <f>'Initial unit rates'!U183</f>
        <v>-4.35580013645602E-2</v>
      </c>
      <c r="V54" s="268">
        <f>'Initial unit rates'!V183</f>
        <v>-4.2940449360336752E-2</v>
      </c>
      <c r="W54" s="268">
        <f>'Initial unit rates'!W183</f>
        <v>-4.2940449360336752E-2</v>
      </c>
      <c r="X54" s="268">
        <f>'Initial unit rates'!X183</f>
        <v>-4.2446407756957988E-2</v>
      </c>
      <c r="Y54" s="268">
        <f>'Initial unit rates'!Y183</f>
        <v>-4.2446407756957988E-2</v>
      </c>
      <c r="Z54" s="256"/>
      <c r="AA54" s="256"/>
    </row>
    <row r="55" spans="3:27" x14ac:dyDescent="0.25">
      <c r="D55"/>
      <c r="F55" t="s">
        <v>194</v>
      </c>
      <c r="G55" t="s">
        <v>270</v>
      </c>
      <c r="H55" s="256"/>
      <c r="I55" s="256"/>
      <c r="J55" s="268">
        <f>'Initial unit rates'!J184</f>
        <v>9.0983346411641474E-3</v>
      </c>
      <c r="K55" s="268">
        <f>'Initial unit rates'!K184</f>
        <v>9.0983346411641474E-3</v>
      </c>
      <c r="L55" s="268">
        <f>'Initial unit rates'!L184</f>
        <v>9.7534254215629283E-3</v>
      </c>
      <c r="M55" s="268">
        <f>'Initial unit rates'!M184</f>
        <v>9.7534254215629283E-3</v>
      </c>
      <c r="N55" s="268">
        <f>'Initial unit rates'!N184</f>
        <v>7.6767235184317575E-3</v>
      </c>
      <c r="O55" s="268">
        <f>'Initial unit rates'!O184</f>
        <v>7.3375417971196181E-3</v>
      </c>
      <c r="P55" s="268">
        <f>'Initial unit rates'!P184</f>
        <v>2.135491307469838E-3</v>
      </c>
      <c r="Q55" s="268">
        <f>'Initial unit rates'!Q184</f>
        <v>1.0673667850568867E-2</v>
      </c>
      <c r="R55" s="268">
        <f>'Initial unit rates'!R184</f>
        <v>-6.2393125018580216E-3</v>
      </c>
      <c r="S55" s="268">
        <f>'Initial unit rates'!S184</f>
        <v>-6.1508534399224166E-3</v>
      </c>
      <c r="T55" s="268">
        <f>'Initial unit rates'!T184</f>
        <v>-6.2393125018580216E-3</v>
      </c>
      <c r="U55" s="268">
        <f>'Initial unit rates'!U184</f>
        <v>-6.2393125018580216E-3</v>
      </c>
      <c r="V55" s="268">
        <f>'Initial unit rates'!V184</f>
        <v>-6.1508534399224166E-3</v>
      </c>
      <c r="W55" s="268">
        <f>'Initial unit rates'!W184</f>
        <v>-6.1508534399224166E-3</v>
      </c>
      <c r="X55" s="268">
        <f>'Initial unit rates'!X184</f>
        <v>-2.0064284428233975E-3</v>
      </c>
      <c r="Y55" s="268">
        <f>'Initial unit rates'!Y184</f>
        <v>-2.0064284428233975E-3</v>
      </c>
      <c r="Z55" s="256"/>
      <c r="AA55" s="256"/>
    </row>
    <row r="56" spans="3:27" x14ac:dyDescent="0.25">
      <c r="D56"/>
      <c r="F56" t="s">
        <v>195</v>
      </c>
      <c r="G56" t="s">
        <v>270</v>
      </c>
      <c r="H56" s="256"/>
      <c r="I56" s="256"/>
      <c r="J56" s="268">
        <f>'Initial unit rates'!J185</f>
        <v>7.4604460218504615E-2</v>
      </c>
      <c r="K56" s="268">
        <f>'Initial unit rates'!K185</f>
        <v>7.4604460218504615E-2</v>
      </c>
      <c r="L56" s="268">
        <f>'Initial unit rates'!L185</f>
        <v>7.9976068979151022E-2</v>
      </c>
      <c r="M56" s="268">
        <f>'Initial unit rates'!M185</f>
        <v>7.9976068979151022E-2</v>
      </c>
      <c r="N56" s="268">
        <f>'Initial unit rates'!N185</f>
        <v>6.2947543361190406E-2</v>
      </c>
      <c r="O56" s="268">
        <f>'Initial unit rates'!O185</f>
        <v>6.0166323475081926E-2</v>
      </c>
      <c r="P56" s="268">
        <f>'Initial unit rates'!P185</f>
        <v>1.7510586561005084E-2</v>
      </c>
      <c r="Q56" s="268">
        <f>'Initial unit rates'!Q185</f>
        <v>6.6247543656495059E-2</v>
      </c>
      <c r="R56" s="268">
        <f>'Initial unit rates'!R185</f>
        <v>-5.1161070645795274E-2</v>
      </c>
      <c r="S56" s="268">
        <f>'Initial unit rates'!S185</f>
        <v>-5.0435724653652619E-2</v>
      </c>
      <c r="T56" s="268">
        <f>'Initial unit rates'!T185</f>
        <v>-5.1161070645795274E-2</v>
      </c>
      <c r="U56" s="268">
        <f>'Initial unit rates'!U185</f>
        <v>-5.1161070645795274E-2</v>
      </c>
      <c r="V56" s="268">
        <f>'Initial unit rates'!V185</f>
        <v>-5.0435724653652619E-2</v>
      </c>
      <c r="W56" s="268">
        <f>'Initial unit rates'!W185</f>
        <v>-5.0435724653652619E-2</v>
      </c>
      <c r="X56" s="268">
        <f>'Initial unit rates'!X185</f>
        <v>-1.6452297793779699E-2</v>
      </c>
      <c r="Y56" s="268">
        <f>'Initial unit rates'!Y185</f>
        <v>-1.6452297793779699E-2</v>
      </c>
      <c r="Z56" s="256"/>
      <c r="AA56" s="256"/>
    </row>
    <row r="57" spans="3:27" x14ac:dyDescent="0.25">
      <c r="D57"/>
      <c r="F57" t="s">
        <v>196</v>
      </c>
      <c r="G57" t="s">
        <v>270</v>
      </c>
      <c r="H57" s="256"/>
      <c r="I57" s="256"/>
      <c r="J57" s="268">
        <f>'Initial unit rates'!J186</f>
        <v>1.1211725354577597E-2</v>
      </c>
      <c r="K57" s="268">
        <f>'Initial unit rates'!K186</f>
        <v>1.1211725354577597E-2</v>
      </c>
      <c r="L57" s="268">
        <f>'Initial unit rates'!L186</f>
        <v>1.2018982748575501E-2</v>
      </c>
      <c r="M57" s="268">
        <f>'Initial unit rates'!M186</f>
        <v>1.2018982748575501E-2</v>
      </c>
      <c r="N57" s="268">
        <f>'Initial unit rates'!N186</f>
        <v>9.4598977841807274E-3</v>
      </c>
      <c r="O57" s="268">
        <f>'Initial unit rates'!O186</f>
        <v>9.0419298312941314E-3</v>
      </c>
      <c r="P57" s="268">
        <f>'Initial unit rates'!P186</f>
        <v>0</v>
      </c>
      <c r="Q57" s="268">
        <f>'Initial unit rates'!Q186</f>
        <v>9.955829218743991E-3</v>
      </c>
      <c r="R57" s="268">
        <f>'Initial unit rates'!R186</f>
        <v>-7.6886002692976244E-3</v>
      </c>
      <c r="S57" s="268">
        <f>'Initial unit rates'!S186</f>
        <v>-7.5795936492225142E-3</v>
      </c>
      <c r="T57" s="268">
        <f>'Initial unit rates'!T186</f>
        <v>-7.6886002692976244E-3</v>
      </c>
      <c r="U57" s="268">
        <f>'Initial unit rates'!U186</f>
        <v>-7.6886002692976244E-3</v>
      </c>
      <c r="V57" s="268">
        <f>'Initial unit rates'!V186</f>
        <v>-7.5795936492225142E-3</v>
      </c>
      <c r="W57" s="268">
        <f>'Initial unit rates'!W186</f>
        <v>-7.5795936492225142E-3</v>
      </c>
      <c r="X57" s="268">
        <f>'Initial unit rates'!X186</f>
        <v>0</v>
      </c>
      <c r="Y57" s="268">
        <f>'Initial unit rates'!Y186</f>
        <v>0</v>
      </c>
      <c r="Z57" s="256"/>
      <c r="AA57" s="256"/>
    </row>
    <row r="58" spans="3:27" x14ac:dyDescent="0.25">
      <c r="D58"/>
      <c r="F58" t="s">
        <v>197</v>
      </c>
      <c r="G58" t="s">
        <v>270</v>
      </c>
      <c r="H58" s="256"/>
      <c r="I58" s="256"/>
      <c r="J58" s="268">
        <f>'Initial unit rates'!J187</f>
        <v>0</v>
      </c>
      <c r="K58" s="268">
        <f>'Initial unit rates'!K187</f>
        <v>0</v>
      </c>
      <c r="L58" s="268">
        <f>'Initial unit rates'!L187</f>
        <v>0</v>
      </c>
      <c r="M58" s="268">
        <f>'Initial unit rates'!M187</f>
        <v>0</v>
      </c>
      <c r="N58" s="268">
        <f>'Initial unit rates'!N187</f>
        <v>0</v>
      </c>
      <c r="O58" s="268">
        <f>'Initial unit rates'!O187</f>
        <v>0</v>
      </c>
      <c r="P58" s="268">
        <f>'Initial unit rates'!P187</f>
        <v>0</v>
      </c>
      <c r="Q58" s="268">
        <f>'Initial unit rates'!Q187</f>
        <v>0</v>
      </c>
      <c r="R58" s="268">
        <f>'Initial unit rates'!R187</f>
        <v>0</v>
      </c>
      <c r="S58" s="268">
        <f>'Initial unit rates'!S187</f>
        <v>0</v>
      </c>
      <c r="T58" s="268">
        <f>'Initial unit rates'!T187</f>
        <v>0</v>
      </c>
      <c r="U58" s="268">
        <f>'Initial unit rates'!U187</f>
        <v>0</v>
      </c>
      <c r="V58" s="268">
        <f>'Initial unit rates'!V187</f>
        <v>0</v>
      </c>
      <c r="W58" s="268">
        <f>'Initial unit rates'!W187</f>
        <v>0</v>
      </c>
      <c r="X58" s="268">
        <f>'Initial unit rates'!X187</f>
        <v>0</v>
      </c>
      <c r="Y58" s="268">
        <f>'Initial unit rates'!Y187</f>
        <v>0</v>
      </c>
      <c r="Z58" s="256"/>
      <c r="AA58" s="256"/>
    </row>
    <row r="59" spans="3:27" x14ac:dyDescent="0.25">
      <c r="D59"/>
      <c r="F59" t="s">
        <v>198</v>
      </c>
      <c r="G59" t="s">
        <v>270</v>
      </c>
      <c r="H59" s="256"/>
      <c r="I59" s="256"/>
      <c r="J59" s="268">
        <f>'Initial unit rates'!J188</f>
        <v>5.163009302662111E-2</v>
      </c>
      <c r="K59" s="268">
        <f>'Initial unit rates'!K188</f>
        <v>5.163009302662111E-2</v>
      </c>
      <c r="L59" s="268">
        <f>'Initial unit rates'!L188</f>
        <v>5.5347520365449258E-2</v>
      </c>
      <c r="M59" s="268">
        <f>'Initial unit rates'!M188</f>
        <v>5.5347520365449258E-2</v>
      </c>
      <c r="N59" s="268">
        <f>'Initial unit rates'!N188</f>
        <v>4.3562911788609271E-2</v>
      </c>
      <c r="O59" s="268">
        <f>'Initial unit rates'!O188</f>
        <v>4.1638165720791029E-2</v>
      </c>
      <c r="P59" s="268">
        <f>'Initial unit rates'!P188</f>
        <v>0</v>
      </c>
      <c r="Q59" s="268">
        <f>'Initial unit rates'!Q188</f>
        <v>4.5846680369407838E-2</v>
      </c>
      <c r="R59" s="268">
        <f>'Initial unit rates'!R188</f>
        <v>-3.5406071286455988E-2</v>
      </c>
      <c r="S59" s="268">
        <f>'Initial unit rates'!S188</f>
        <v>-3.4904094850447626E-2</v>
      </c>
      <c r="T59" s="268">
        <f>'Initial unit rates'!T188</f>
        <v>-3.5406071286455988E-2</v>
      </c>
      <c r="U59" s="268">
        <f>'Initial unit rates'!U188</f>
        <v>-3.5406071286455988E-2</v>
      </c>
      <c r="V59" s="268">
        <f>'Initial unit rates'!V188</f>
        <v>-3.4904094850447626E-2</v>
      </c>
      <c r="W59" s="268">
        <f>'Initial unit rates'!W188</f>
        <v>-3.4904094850447626E-2</v>
      </c>
      <c r="X59" s="268">
        <f>'Initial unit rates'!X188</f>
        <v>0</v>
      </c>
      <c r="Y59" s="268">
        <f>'Initial unit rates'!Y188</f>
        <v>0</v>
      </c>
      <c r="Z59" s="256"/>
      <c r="AA59" s="256"/>
    </row>
    <row r="60" spans="3:27" x14ac:dyDescent="0.25">
      <c r="D60"/>
      <c r="F60" t="s">
        <v>199</v>
      </c>
      <c r="G60" t="s">
        <v>270</v>
      </c>
      <c r="H60" s="256"/>
      <c r="I60" s="256"/>
      <c r="J60" s="268">
        <f>'Initial unit rates'!J189</f>
        <v>5.5744878364741655E-3</v>
      </c>
      <c r="K60" s="268">
        <f>'Initial unit rates'!K189</f>
        <v>5.5744878364741655E-3</v>
      </c>
      <c r="L60" s="268">
        <f>'Initial unit rates'!L189</f>
        <v>5.9758575080838825E-3</v>
      </c>
      <c r="M60" s="268">
        <f>'Initial unit rates'!M189</f>
        <v>5.9758575080838825E-3</v>
      </c>
      <c r="N60" s="268">
        <f>'Initial unit rates'!N189</f>
        <v>4.7034763575147468E-3</v>
      </c>
      <c r="O60" s="268">
        <f>'Initial unit rates'!O189</f>
        <v>4.4956620206739817E-3</v>
      </c>
      <c r="P60" s="268">
        <f>'Initial unit rates'!P189</f>
        <v>0</v>
      </c>
      <c r="Q60" s="268">
        <f>'Initial unit rates'!Q189</f>
        <v>4.9500542625442673E-3</v>
      </c>
      <c r="R60" s="268">
        <f>'Initial unit rates'!R189</f>
        <v>-3.8227843909155717E-3</v>
      </c>
      <c r="S60" s="268">
        <f>'Initial unit rates'!S189</f>
        <v>0</v>
      </c>
      <c r="T60" s="268">
        <f>'Initial unit rates'!T189</f>
        <v>-3.8227843909155717E-3</v>
      </c>
      <c r="U60" s="268">
        <f>'Initial unit rates'!U189</f>
        <v>-3.8227843909155717E-3</v>
      </c>
      <c r="V60" s="268">
        <f>'Initial unit rates'!V189</f>
        <v>0</v>
      </c>
      <c r="W60" s="268">
        <f>'Initial unit rates'!W189</f>
        <v>0</v>
      </c>
      <c r="X60" s="268">
        <f>'Initial unit rates'!X189</f>
        <v>0</v>
      </c>
      <c r="Y60" s="268">
        <f>'Initial unit rates'!Y189</f>
        <v>0</v>
      </c>
      <c r="Z60" s="256"/>
      <c r="AA60" s="256"/>
    </row>
    <row r="61" spans="3:27" x14ac:dyDescent="0.25">
      <c r="D61"/>
      <c r="F61" t="s">
        <v>200</v>
      </c>
      <c r="G61" t="s">
        <v>270</v>
      </c>
      <c r="H61" s="256"/>
      <c r="I61" s="256"/>
      <c r="J61" s="268">
        <f>'Initial unit rates'!J190</f>
        <v>1.3756749270201553E-2</v>
      </c>
      <c r="K61" s="268">
        <f>'Initial unit rates'!K190</f>
        <v>1.3756749270201553E-2</v>
      </c>
      <c r="L61" s="268">
        <f>'Initial unit rates'!L190</f>
        <v>1.4747251375322365E-2</v>
      </c>
      <c r="M61" s="268">
        <f>'Initial unit rates'!M190</f>
        <v>1.4747251375322365E-2</v>
      </c>
      <c r="N61" s="268">
        <f>'Initial unit rates'!N190</f>
        <v>1.1607262738163324E-2</v>
      </c>
      <c r="O61" s="268">
        <f>'Initial unit rates'!O190</f>
        <v>0</v>
      </c>
      <c r="P61" s="268">
        <f>'Initial unit rates'!P190</f>
        <v>0</v>
      </c>
      <c r="Q61" s="268">
        <f>'Initial unit rates'!Q190</f>
        <v>1.2215768939014266E-2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270</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270</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190</v>
      </c>
      <c r="G66" s="19" t="s">
        <v>270</v>
      </c>
      <c r="H66" s="255"/>
      <c r="I66" s="255"/>
      <c r="J66" s="267">
        <f>'Initial unit rates'!J193</f>
        <v>8.4631705700365777E-3</v>
      </c>
      <c r="K66" s="267">
        <f>'Initial unit rates'!K193</f>
        <v>8.4631705700365777E-3</v>
      </c>
      <c r="L66" s="267">
        <f>'Initial unit rates'!L193</f>
        <v>9.0725287912971526E-3</v>
      </c>
      <c r="M66" s="267">
        <f>'Initial unit rates'!M193</f>
        <v>9.0725287912971526E-3</v>
      </c>
      <c r="N66" s="267">
        <f>'Initial unit rates'!N193</f>
        <v>7.1408035775639856E-3</v>
      </c>
      <c r="O66" s="267">
        <f>'Initial unit rates'!O193</f>
        <v>6.8253004800283299E-3</v>
      </c>
      <c r="P66" s="267">
        <f>'Initial unit rates'!P193</f>
        <v>6.0194256650598146E-3</v>
      </c>
      <c r="Q66" s="267">
        <f>'Initial unit rates'!Q193</f>
        <v>1.0171471862856664E-2</v>
      </c>
      <c r="R66" s="267">
        <f>'Initial unit rates'!R193</f>
        <v>-5.8037396980410135E-3</v>
      </c>
      <c r="S66" s="267">
        <f>'Initial unit rates'!S193</f>
        <v>-5.7214560539288993E-3</v>
      </c>
      <c r="T66" s="267">
        <f>'Initial unit rates'!T193</f>
        <v>-5.8037396980410135E-3</v>
      </c>
      <c r="U66" s="267">
        <f>'Initial unit rates'!U193</f>
        <v>-5.8037396980410135E-3</v>
      </c>
      <c r="V66" s="267">
        <f>'Initial unit rates'!V193</f>
        <v>-5.7214560539288993E-3</v>
      </c>
      <c r="W66" s="267">
        <f>'Initial unit rates'!W193</f>
        <v>-5.7214560539288993E-3</v>
      </c>
      <c r="X66" s="267">
        <f>'Initial unit rates'!X193</f>
        <v>-5.6556291386392092E-3</v>
      </c>
      <c r="Y66" s="267">
        <f>'Initial unit rates'!Y193</f>
        <v>-5.6556291386392092E-3</v>
      </c>
      <c r="Z66" s="256"/>
      <c r="AA66" s="256"/>
    </row>
    <row r="67" spans="3:27" x14ac:dyDescent="0.25">
      <c r="D67"/>
      <c r="F67" t="s">
        <v>192</v>
      </c>
      <c r="G67" t="s">
        <v>270</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193</v>
      </c>
      <c r="G68" t="s">
        <v>270</v>
      </c>
      <c r="H68" s="256"/>
      <c r="I68" s="256"/>
      <c r="J68" s="268">
        <f>'Initial unit rates'!J195</f>
        <v>5.7541307193915564E-2</v>
      </c>
      <c r="K68" s="268">
        <f>'Initial unit rates'!K195</f>
        <v>5.7541307193915564E-2</v>
      </c>
      <c r="L68" s="268">
        <f>'Initial unit rates'!L195</f>
        <v>6.1684348895666492E-2</v>
      </c>
      <c r="M68" s="268">
        <f>'Initial unit rates'!M195</f>
        <v>6.1684348895666492E-2</v>
      </c>
      <c r="N68" s="268">
        <f>'Initial unit rates'!N195</f>
        <v>4.8550501123392195E-2</v>
      </c>
      <c r="O68" s="268">
        <f>'Initial unit rates'!O195</f>
        <v>4.6405387716342832E-2</v>
      </c>
      <c r="P68" s="268">
        <f>'Initial unit rates'!P195</f>
        <v>4.092622480639066E-2</v>
      </c>
      <c r="Q68" s="268">
        <f>'Initial unit rates'!Q195</f>
        <v>6.75043098433252E-2</v>
      </c>
      <c r="R68" s="268">
        <f>'Initial unit rates'!R195</f>
        <v>-3.945977055228575E-2</v>
      </c>
      <c r="S68" s="268">
        <f>'Initial unit rates'!S195</f>
        <v>-3.8900322009483956E-2</v>
      </c>
      <c r="T68" s="268">
        <f>'Initial unit rates'!T195</f>
        <v>-3.945977055228575E-2</v>
      </c>
      <c r="U68" s="268">
        <f>'Initial unit rates'!U195</f>
        <v>-3.945977055228575E-2</v>
      </c>
      <c r="V68" s="268">
        <f>'Initial unit rates'!V195</f>
        <v>-3.8900322009483956E-2</v>
      </c>
      <c r="W68" s="268">
        <f>'Initial unit rates'!W195</f>
        <v>-3.8900322009483956E-2</v>
      </c>
      <c r="X68" s="268">
        <f>'Initial unit rates'!X195</f>
        <v>-3.845276317524253E-2</v>
      </c>
      <c r="Y68" s="268">
        <f>'Initial unit rates'!Y195</f>
        <v>-3.845276317524253E-2</v>
      </c>
      <c r="Z68" s="256"/>
      <c r="AA68" s="256"/>
    </row>
    <row r="69" spans="3:27" x14ac:dyDescent="0.25">
      <c r="D69"/>
      <c r="F69" t="s">
        <v>194</v>
      </c>
      <c r="G69" t="s">
        <v>270</v>
      </c>
      <c r="H69" s="256"/>
      <c r="I69" s="256"/>
      <c r="J69" s="268">
        <f>'Initial unit rates'!J196</f>
        <v>8.2423018986439531E-3</v>
      </c>
      <c r="K69" s="268">
        <f>'Initial unit rates'!K196</f>
        <v>8.2423018986439531E-3</v>
      </c>
      <c r="L69" s="268">
        <f>'Initial unit rates'!L196</f>
        <v>8.8357573161481559E-3</v>
      </c>
      <c r="M69" s="268">
        <f>'Initial unit rates'!M196</f>
        <v>8.8357573161481559E-3</v>
      </c>
      <c r="N69" s="268">
        <f>'Initial unit rates'!N196</f>
        <v>6.9544455471071531E-3</v>
      </c>
      <c r="O69" s="268">
        <f>'Initial unit rates'!O196</f>
        <v>6.6471763318259403E-3</v>
      </c>
      <c r="P69" s="268">
        <f>'Initial unit rates'!P196</f>
        <v>5.8623329374364987E-3</v>
      </c>
      <c r="Q69" s="268">
        <f>'Initial unit rates'!Q196</f>
        <v>9.6694171252182104E-3</v>
      </c>
      <c r="R69" s="268">
        <f>'Initial unit rates'!R196</f>
        <v>-5.6522758624008192E-3</v>
      </c>
      <c r="S69" s="268">
        <f>'Initial unit rates'!S196</f>
        <v>-5.572139626166402E-3</v>
      </c>
      <c r="T69" s="268">
        <f>'Initial unit rates'!T196</f>
        <v>-5.6522758624008192E-3</v>
      </c>
      <c r="U69" s="268">
        <f>'Initial unit rates'!U196</f>
        <v>-5.6522758624008192E-3</v>
      </c>
      <c r="V69" s="268">
        <f>'Initial unit rates'!V196</f>
        <v>-5.572139626166402E-3</v>
      </c>
      <c r="W69" s="268">
        <f>'Initial unit rates'!W196</f>
        <v>-5.572139626166402E-3</v>
      </c>
      <c r="X69" s="268">
        <f>'Initial unit rates'!X196</f>
        <v>-5.5080306371788684E-3</v>
      </c>
      <c r="Y69" s="268">
        <f>'Initial unit rates'!Y196</f>
        <v>-5.5080306371788684E-3</v>
      </c>
      <c r="Z69" s="256"/>
      <c r="AA69" s="256"/>
    </row>
    <row r="70" spans="3:27" x14ac:dyDescent="0.25">
      <c r="D70"/>
      <c r="F70" t="s">
        <v>195</v>
      </c>
      <c r="G70" t="s">
        <v>270</v>
      </c>
      <c r="H70" s="256"/>
      <c r="I70" s="256"/>
      <c r="J70" s="268">
        <f>'Initial unit rates'!J197</f>
        <v>6.7585168974133109E-2</v>
      </c>
      <c r="K70" s="268">
        <f>'Initial unit rates'!K197</f>
        <v>6.7585168974133109E-2</v>
      </c>
      <c r="L70" s="268">
        <f>'Initial unit rates'!L197</f>
        <v>7.2451380520841338E-2</v>
      </c>
      <c r="M70" s="268">
        <f>'Initial unit rates'!M197</f>
        <v>7.2451380520841338E-2</v>
      </c>
      <c r="N70" s="268">
        <f>'Initial unit rates'!N197</f>
        <v>5.7025013546273179E-2</v>
      </c>
      <c r="O70" s="268">
        <f>'Initial unit rates'!O197</f>
        <v>5.450546960203273E-2</v>
      </c>
      <c r="P70" s="268">
        <f>'Initial unit rates'!P197</f>
        <v>4.8069916272353116E-2</v>
      </c>
      <c r="Q70" s="268">
        <f>'Initial unit rates'!Q197</f>
        <v>6.0014527536718695E-2</v>
      </c>
      <c r="R70" s="268">
        <f>'Initial unit rates'!R197</f>
        <v>-4.6347491750044094E-2</v>
      </c>
      <c r="S70" s="268">
        <f>'Initial unit rates'!S197</f>
        <v>-4.5690391205383728E-2</v>
      </c>
      <c r="T70" s="268">
        <f>'Initial unit rates'!T197</f>
        <v>-4.6347491750044094E-2</v>
      </c>
      <c r="U70" s="268">
        <f>'Initial unit rates'!U197</f>
        <v>-4.6347491750044094E-2</v>
      </c>
      <c r="V70" s="268">
        <f>'Initial unit rates'!V197</f>
        <v>-4.5690391205383728E-2</v>
      </c>
      <c r="W70" s="268">
        <f>'Initial unit rates'!W197</f>
        <v>-4.5690391205383728E-2</v>
      </c>
      <c r="X70" s="268">
        <f>'Initial unit rates'!X197</f>
        <v>-4.5164710769655433E-2</v>
      </c>
      <c r="Y70" s="268">
        <f>'Initial unit rates'!Y197</f>
        <v>-4.5164710769655433E-2</v>
      </c>
      <c r="Z70" s="256"/>
      <c r="AA70" s="256"/>
    </row>
    <row r="71" spans="3:27" x14ac:dyDescent="0.25">
      <c r="D71"/>
      <c r="F71" t="s">
        <v>196</v>
      </c>
      <c r="G71" t="s">
        <v>270</v>
      </c>
      <c r="H71" s="256"/>
      <c r="I71" s="256"/>
      <c r="J71" s="268">
        <f>'Initial unit rates'!J198</f>
        <v>5.3457108142228094E-2</v>
      </c>
      <c r="K71" s="268">
        <f>'Initial unit rates'!K198</f>
        <v>5.3457108142228094E-2</v>
      </c>
      <c r="L71" s="268">
        <f>'Initial unit rates'!L198</f>
        <v>5.7306082715257591E-2</v>
      </c>
      <c r="M71" s="268">
        <f>'Initial unit rates'!M198</f>
        <v>5.7306082715257591E-2</v>
      </c>
      <c r="N71" s="268">
        <f>'Initial unit rates'!N198</f>
        <v>4.5104456528352536E-2</v>
      </c>
      <c r="O71" s="268">
        <f>'Initial unit rates'!O198</f>
        <v>4.3111600179233885E-2</v>
      </c>
      <c r="P71" s="268">
        <f>'Initial unit rates'!P198</f>
        <v>3.8021340355641108E-2</v>
      </c>
      <c r="Q71" s="268">
        <f>'Initial unit rates'!Q198</f>
        <v>4.7469039988092258E-2</v>
      </c>
      <c r="R71" s="268">
        <f>'Initial unit rates'!R198</f>
        <v>-3.6658972910926436E-2</v>
      </c>
      <c r="S71" s="268">
        <f>'Initial unit rates'!S198</f>
        <v>-3.6139233219372645E-2</v>
      </c>
      <c r="T71" s="268">
        <f>'Initial unit rates'!T198</f>
        <v>-3.6658972910926436E-2</v>
      </c>
      <c r="U71" s="268">
        <f>'Initial unit rates'!U198</f>
        <v>-3.6658972910926436E-2</v>
      </c>
      <c r="V71" s="268">
        <f>'Initial unit rates'!V198</f>
        <v>-3.6139233219372645E-2</v>
      </c>
      <c r="W71" s="268">
        <f>'Initial unit rates'!W198</f>
        <v>-3.6139233219372645E-2</v>
      </c>
      <c r="X71" s="268">
        <f>'Initial unit rates'!X198</f>
        <v>-3.572344146612963E-2</v>
      </c>
      <c r="Y71" s="268">
        <f>'Initial unit rates'!Y198</f>
        <v>-3.572344146612963E-2</v>
      </c>
      <c r="Z71" s="256"/>
      <c r="AA71" s="256"/>
    </row>
    <row r="72" spans="3:27" x14ac:dyDescent="0.25">
      <c r="D72"/>
      <c r="F72" t="s">
        <v>197</v>
      </c>
      <c r="G72" t="s">
        <v>270</v>
      </c>
      <c r="H72" s="256"/>
      <c r="I72" s="256"/>
      <c r="J72" s="268">
        <f>'Initial unit rates'!J199</f>
        <v>0</v>
      </c>
      <c r="K72" s="268">
        <f>'Initial unit rates'!K199</f>
        <v>0</v>
      </c>
      <c r="L72" s="268">
        <f>'Initial unit rates'!L199</f>
        <v>0</v>
      </c>
      <c r="M72" s="268">
        <f>'Initial unit rates'!M199</f>
        <v>0</v>
      </c>
      <c r="N72" s="268">
        <f>'Initial unit rates'!N199</f>
        <v>0</v>
      </c>
      <c r="O72" s="268">
        <f>'Initial unit rates'!O199</f>
        <v>0</v>
      </c>
      <c r="P72" s="268">
        <f>'Initial unit rates'!P199</f>
        <v>0</v>
      </c>
      <c r="Q72" s="268">
        <f>'Initial unit rates'!Q199</f>
        <v>0</v>
      </c>
      <c r="R72" s="268">
        <f>'Initial unit rates'!R199</f>
        <v>0</v>
      </c>
      <c r="S72" s="268">
        <f>'Initial unit rates'!S199</f>
        <v>0</v>
      </c>
      <c r="T72" s="268">
        <f>'Initial unit rates'!T199</f>
        <v>0</v>
      </c>
      <c r="U72" s="268">
        <f>'Initial unit rates'!U199</f>
        <v>0</v>
      </c>
      <c r="V72" s="268">
        <f>'Initial unit rates'!V199</f>
        <v>0</v>
      </c>
      <c r="W72" s="268">
        <f>'Initial unit rates'!W199</f>
        <v>0</v>
      </c>
      <c r="X72" s="268">
        <f>'Initial unit rates'!X199</f>
        <v>0</v>
      </c>
      <c r="Y72" s="268">
        <f>'Initial unit rates'!Y199</f>
        <v>0</v>
      </c>
      <c r="Z72" s="256"/>
      <c r="AA72" s="256"/>
    </row>
    <row r="73" spans="3:27" x14ac:dyDescent="0.25">
      <c r="D73"/>
      <c r="F73" t="s">
        <v>198</v>
      </c>
      <c r="G73" t="s">
        <v>270</v>
      </c>
      <c r="H73" s="256"/>
      <c r="I73" s="256"/>
      <c r="J73" s="268">
        <f>'Initial unit rates'!J200</f>
        <v>0.24617044915308339</v>
      </c>
      <c r="K73" s="268">
        <f>'Initial unit rates'!K200</f>
        <v>0.24617044915308339</v>
      </c>
      <c r="L73" s="268">
        <f>'Initial unit rates'!L200</f>
        <v>0.26389501062581655</v>
      </c>
      <c r="M73" s="268">
        <f>'Initial unit rates'!M200</f>
        <v>0.26389501062581655</v>
      </c>
      <c r="N73" s="268">
        <f>'Initial unit rates'!N200</f>
        <v>0.20770641563416747</v>
      </c>
      <c r="O73" s="268">
        <f>'Initial unit rates'!O200</f>
        <v>0.19852929476831618</v>
      </c>
      <c r="P73" s="268">
        <f>'Initial unit rates'!P200</f>
        <v>0.17508860389244979</v>
      </c>
      <c r="Q73" s="268">
        <f>'Initial unit rates'!Q200</f>
        <v>0.2185953430859737</v>
      </c>
      <c r="R73" s="268">
        <f>'Initial unit rates'!R200</f>
        <v>-0.1688148899293852</v>
      </c>
      <c r="S73" s="268">
        <f>'Initial unit rates'!S200</f>
        <v>-0.16642148411753191</v>
      </c>
      <c r="T73" s="268">
        <f>'Initial unit rates'!T200</f>
        <v>-0.1688148899293852</v>
      </c>
      <c r="U73" s="268">
        <f>'Initial unit rates'!U200</f>
        <v>-0.1688148899293852</v>
      </c>
      <c r="V73" s="268">
        <f>'Initial unit rates'!V200</f>
        <v>-0.16642148411753191</v>
      </c>
      <c r="W73" s="268">
        <f>'Initial unit rates'!W200</f>
        <v>-0.16642148411753191</v>
      </c>
      <c r="X73" s="268">
        <f>'Initial unit rates'!X200</f>
        <v>0</v>
      </c>
      <c r="Y73" s="268">
        <f>'Initial unit rates'!Y200</f>
        <v>0</v>
      </c>
      <c r="Z73" s="256"/>
      <c r="AA73" s="256"/>
    </row>
    <row r="74" spans="3:27" x14ac:dyDescent="0.25">
      <c r="D74"/>
      <c r="F74" t="s">
        <v>199</v>
      </c>
      <c r="G74" t="s">
        <v>270</v>
      </c>
      <c r="H74" s="256"/>
      <c r="I74" s="256"/>
      <c r="J74" s="268">
        <f>'Initial unit rates'!J201</f>
        <v>0.10100004779041546</v>
      </c>
      <c r="K74" s="268">
        <f>'Initial unit rates'!K201</f>
        <v>0.10100004779041546</v>
      </c>
      <c r="L74" s="268">
        <f>'Initial unit rates'!L201</f>
        <v>0.10827216985855602</v>
      </c>
      <c r="M74" s="268">
        <f>'Initial unit rates'!M201</f>
        <v>0.10827216985855602</v>
      </c>
      <c r="N74" s="268">
        <f>'Initial unit rates'!N201</f>
        <v>8.5218831007539922E-2</v>
      </c>
      <c r="O74" s="268">
        <f>'Initial unit rates'!O201</f>
        <v>8.1453595784472976E-2</v>
      </c>
      <c r="P74" s="268">
        <f>'Initial unit rates'!P201</f>
        <v>0</v>
      </c>
      <c r="Q74" s="268">
        <f>'Initial unit rates'!Q201</f>
        <v>8.9686394830908844E-2</v>
      </c>
      <c r="R74" s="268">
        <f>'Initial unit rates'!R201</f>
        <v>-6.9262220584399764E-2</v>
      </c>
      <c r="S74" s="268">
        <f>'Initial unit rates'!S201</f>
        <v>0</v>
      </c>
      <c r="T74" s="268">
        <f>'Initial unit rates'!T201</f>
        <v>-6.9262220584399764E-2</v>
      </c>
      <c r="U74" s="268">
        <f>'Initial unit rates'!U201</f>
        <v>-6.9262220584399764E-2</v>
      </c>
      <c r="V74" s="268">
        <f>'Initial unit rates'!V201</f>
        <v>0</v>
      </c>
      <c r="W74" s="268">
        <f>'Initial unit rates'!W201</f>
        <v>0</v>
      </c>
      <c r="X74" s="268">
        <f>'Initial unit rates'!X201</f>
        <v>0</v>
      </c>
      <c r="Y74" s="268">
        <f>'Initial unit rates'!Y201</f>
        <v>0</v>
      </c>
      <c r="Z74" s="256"/>
      <c r="AA74" s="256"/>
    </row>
    <row r="75" spans="3:27" x14ac:dyDescent="0.25">
      <c r="D75"/>
      <c r="F75" t="s">
        <v>200</v>
      </c>
      <c r="G75" t="s">
        <v>270</v>
      </c>
      <c r="H75" s="256"/>
      <c r="I75" s="256"/>
      <c r="J75" s="268">
        <f>'Initial unit rates'!J202</f>
        <v>0.24924842864307495</v>
      </c>
      <c r="K75" s="268">
        <f>'Initial unit rates'!K202</f>
        <v>0.24924842864307495</v>
      </c>
      <c r="L75" s="268">
        <f>'Initial unit rates'!L202</f>
        <v>0.26719460825425595</v>
      </c>
      <c r="M75" s="268">
        <f>'Initial unit rates'!M202</f>
        <v>0.26719460825425595</v>
      </c>
      <c r="N75" s="268">
        <f>'Initial unit rates'!N202</f>
        <v>0.21030346206870545</v>
      </c>
      <c r="O75" s="268">
        <f>'Initial unit rates'!O202</f>
        <v>0</v>
      </c>
      <c r="P75" s="268">
        <f>'Initial unit rates'!P202</f>
        <v>0</v>
      </c>
      <c r="Q75" s="268">
        <f>'Initial unit rates'!Q202</f>
        <v>0.22132853866221397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270</v>
      </c>
      <c r="H76" s="255"/>
      <c r="I76" s="255" t="s">
        <v>155</v>
      </c>
      <c r="J76" s="269"/>
      <c r="K76" s="269"/>
      <c r="L76" s="269"/>
      <c r="M76" s="269"/>
      <c r="N76" s="269"/>
      <c r="O76" s="269"/>
      <c r="P76" s="269"/>
      <c r="Q76" s="267">
        <f>'Service model charges'!$Q$44</f>
        <v>1.1691343166507271</v>
      </c>
      <c r="R76" s="269"/>
      <c r="S76" s="269"/>
      <c r="T76" s="269"/>
      <c r="U76" s="269"/>
      <c r="V76" s="269"/>
      <c r="W76" s="269"/>
      <c r="X76" s="269"/>
      <c r="Y76" s="269"/>
      <c r="Z76" s="256"/>
      <c r="AA76" s="256" t="s">
        <v>653</v>
      </c>
    </row>
    <row r="77" spans="3:27" x14ac:dyDescent="0.25">
      <c r="D77"/>
      <c r="F77" s="28" t="s">
        <v>376</v>
      </c>
      <c r="G77" s="28" t="s">
        <v>270</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190</v>
      </c>
      <c r="G82" s="19" t="s">
        <v>270</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192</v>
      </c>
      <c r="G83" t="s">
        <v>270</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193</v>
      </c>
      <c r="G84" t="s">
        <v>270</v>
      </c>
      <c r="H84" s="256"/>
      <c r="I84" s="256"/>
      <c r="J84" s="268">
        <f>'Initial unit rates'!J212</f>
        <v>1.237112786582483E-3</v>
      </c>
      <c r="K84" s="268">
        <f>'Initial unit rates'!K212</f>
        <v>1.237112786582483E-3</v>
      </c>
      <c r="L84" s="268">
        <f>'Initial unit rates'!L212</f>
        <v>1.3261863602381484E-3</v>
      </c>
      <c r="M84" s="268">
        <f>'Initial unit rates'!M212</f>
        <v>1.3261863602381484E-3</v>
      </c>
      <c r="N84" s="268">
        <f>'Initial unit rates'!N212</f>
        <v>1.0438144120070792E-3</v>
      </c>
      <c r="O84" s="268">
        <f>'Initial unit rates'!O212</f>
        <v>9.9769541760211895E-4</v>
      </c>
      <c r="P84" s="268">
        <f>'Initial unit rates'!P212</f>
        <v>8.7989582586140401E-4</v>
      </c>
      <c r="Q84" s="268">
        <f>'Initial unit rates'!Q212</f>
        <v>9.1791378202282802E-4</v>
      </c>
      <c r="R84" s="268">
        <f>'Initial unit rates'!R212</f>
        <v>-8.483677046357658E-4</v>
      </c>
      <c r="S84" s="268">
        <f>'Initial unit rates'!S212</f>
        <v>-8.3633980712202608E-4</v>
      </c>
      <c r="T84" s="268">
        <f>'Initial unit rates'!T212</f>
        <v>-8.483677046357658E-4</v>
      </c>
      <c r="U84" s="268">
        <f>'Initial unit rates'!U212</f>
        <v>-8.483677046357658E-4</v>
      </c>
      <c r="V84" s="268">
        <f>'Initial unit rates'!V212</f>
        <v>-8.3633980712202608E-4</v>
      </c>
      <c r="W84" s="268">
        <f>'Initial unit rates'!W212</f>
        <v>-8.3633980712202608E-4</v>
      </c>
      <c r="X84" s="268">
        <f>'Initial unit rates'!X212</f>
        <v>-8.2671748911103426E-4</v>
      </c>
      <c r="Y84" s="268">
        <f>'Initial unit rates'!Y212</f>
        <v>-8.2671748911103426E-4</v>
      </c>
      <c r="Z84" s="256"/>
      <c r="AA84" s="256"/>
    </row>
    <row r="85" spans="4:27" x14ac:dyDescent="0.25">
      <c r="D85"/>
      <c r="F85" t="s">
        <v>194</v>
      </c>
      <c r="G85" t="s">
        <v>270</v>
      </c>
      <c r="H85" s="256"/>
      <c r="I85" s="256"/>
      <c r="J85" s="268">
        <f>'Initial unit rates'!J213</f>
        <v>1.7720586422068118E-4</v>
      </c>
      <c r="K85" s="268">
        <f>'Initial unit rates'!K213</f>
        <v>1.7720586422068118E-4</v>
      </c>
      <c r="L85" s="268">
        <f>'Initial unit rates'!L213</f>
        <v>1.8996489457755018E-4</v>
      </c>
      <c r="M85" s="268">
        <f>'Initial unit rates'!M213</f>
        <v>1.8996489457755018E-4</v>
      </c>
      <c r="N85" s="268">
        <f>'Initial unit rates'!N213</f>
        <v>1.4951751931745471E-4</v>
      </c>
      <c r="O85" s="268">
        <f>'Initial unit rates'!O213</f>
        <v>1.4291136638689103E-4</v>
      </c>
      <c r="P85" s="268">
        <f>'Initial unit rates'!P213</f>
        <v>4.1592400983343627E-5</v>
      </c>
      <c r="Q85" s="268">
        <f>'Initial unit rates'!Q213</f>
        <v>1.3148332697520305E-4</v>
      </c>
      <c r="R85" s="268">
        <f>'Initial unit rates'!R213</f>
        <v>-1.2152144404892787E-4</v>
      </c>
      <c r="S85" s="268">
        <f>'Initial unit rates'!S213</f>
        <v>-1.1979855022970869E-4</v>
      </c>
      <c r="T85" s="268">
        <f>'Initial unit rates'!T213</f>
        <v>-1.2152144404892787E-4</v>
      </c>
      <c r="U85" s="268">
        <f>'Initial unit rates'!U213</f>
        <v>-1.2152144404892787E-4</v>
      </c>
      <c r="V85" s="268">
        <f>'Initial unit rates'!V213</f>
        <v>-1.1979855022970869E-4</v>
      </c>
      <c r="W85" s="268">
        <f>'Initial unit rates'!W213</f>
        <v>-1.1979855022970869E-4</v>
      </c>
      <c r="X85" s="268">
        <f>'Initial unit rates'!X213</f>
        <v>-3.907867760752999E-5</v>
      </c>
      <c r="Y85" s="268">
        <f>'Initial unit rates'!Y213</f>
        <v>-3.907867760752999E-5</v>
      </c>
      <c r="Z85" s="256"/>
      <c r="AA85" s="256"/>
    </row>
    <row r="86" spans="4:27" x14ac:dyDescent="0.25">
      <c r="D86"/>
      <c r="F86" t="s">
        <v>195</v>
      </c>
      <c r="G86" t="s">
        <v>270</v>
      </c>
      <c r="H86" s="256"/>
      <c r="I86" s="256"/>
      <c r="J86" s="268">
        <f>'Initial unit rates'!J214</f>
        <v>6.2147601320881761E-3</v>
      </c>
      <c r="K86" s="268">
        <f>'Initial unit rates'!K214</f>
        <v>6.2147601320881761E-3</v>
      </c>
      <c r="L86" s="268">
        <f>'Initial unit rates'!L214</f>
        <v>6.6622301609988678E-3</v>
      </c>
      <c r="M86" s="268">
        <f>'Initial unit rates'!M214</f>
        <v>6.6622301609988678E-3</v>
      </c>
      <c r="N86" s="268">
        <f>'Initial unit rates'!N214</f>
        <v>5.2437063648506236E-3</v>
      </c>
      <c r="O86" s="268">
        <f>'Initial unit rates'!O214</f>
        <v>5.0120229719792875E-3</v>
      </c>
      <c r="P86" s="268">
        <f>'Initial unit rates'!P214</f>
        <v>1.4586808205579785E-3</v>
      </c>
      <c r="Q86" s="268">
        <f>'Initial unit rates'!Q214</f>
        <v>4.6112319257233698E-3</v>
      </c>
      <c r="R86" s="268">
        <f>'Initial unit rates'!R214</f>
        <v>-4.2618602323935993E-3</v>
      </c>
      <c r="S86" s="268">
        <f>'Initial unit rates'!S214</f>
        <v>-4.2014368831630663E-3</v>
      </c>
      <c r="T86" s="268">
        <f>'Initial unit rates'!T214</f>
        <v>-4.2618602323935993E-3</v>
      </c>
      <c r="U86" s="268">
        <f>'Initial unit rates'!U214</f>
        <v>-4.2618602323935993E-3</v>
      </c>
      <c r="V86" s="268">
        <f>'Initial unit rates'!V214</f>
        <v>-4.2014368831630663E-3</v>
      </c>
      <c r="W86" s="268">
        <f>'Initial unit rates'!W214</f>
        <v>-4.2014368831630663E-3</v>
      </c>
      <c r="X86" s="268">
        <f>'Initial unit rates'!X214</f>
        <v>-1.3705224072469509E-3</v>
      </c>
      <c r="Y86" s="268">
        <f>'Initial unit rates'!Y214</f>
        <v>-1.3705224072469509E-3</v>
      </c>
      <c r="Z86" s="256"/>
      <c r="AA86" s="256"/>
    </row>
    <row r="87" spans="4:27" x14ac:dyDescent="0.25">
      <c r="D87"/>
      <c r="F87" t="s">
        <v>196</v>
      </c>
      <c r="G87" t="s">
        <v>270</v>
      </c>
      <c r="H87" s="256"/>
      <c r="I87" s="256"/>
      <c r="J87" s="268">
        <f>'Initial unit rates'!J215</f>
        <v>9.3396807029331324E-4</v>
      </c>
      <c r="K87" s="268">
        <f>'Initial unit rates'!K215</f>
        <v>9.3396807029331324E-4</v>
      </c>
      <c r="L87" s="268">
        <f>'Initial unit rates'!L215</f>
        <v>1.0012148683246622E-3</v>
      </c>
      <c r="M87" s="268">
        <f>'Initial unit rates'!M215</f>
        <v>1.0012148683246622E-3</v>
      </c>
      <c r="N87" s="268">
        <f>'Initial unit rates'!N215</f>
        <v>7.880359355267255E-4</v>
      </c>
      <c r="O87" s="268">
        <f>'Initial unit rates'!O215</f>
        <v>7.5321803640270187E-4</v>
      </c>
      <c r="P87" s="268">
        <f>'Initial unit rates'!P215</f>
        <v>0</v>
      </c>
      <c r="Q87" s="268">
        <f>'Initial unit rates'!Q215</f>
        <v>6.9298626041994942E-4</v>
      </c>
      <c r="R87" s="268">
        <f>'Initial unit rates'!R215</f>
        <v>-6.404818999459958E-4</v>
      </c>
      <c r="S87" s="268">
        <f>'Initial unit rates'!S215</f>
        <v>-6.31401343708576E-4</v>
      </c>
      <c r="T87" s="268">
        <f>'Initial unit rates'!T215</f>
        <v>-6.404818999459958E-4</v>
      </c>
      <c r="U87" s="268">
        <f>'Initial unit rates'!U215</f>
        <v>-6.404818999459958E-4</v>
      </c>
      <c r="V87" s="268">
        <f>'Initial unit rates'!V215</f>
        <v>-6.31401343708576E-4</v>
      </c>
      <c r="W87" s="268">
        <f>'Initial unit rates'!W215</f>
        <v>-6.31401343708576E-4</v>
      </c>
      <c r="X87" s="268">
        <f>'Initial unit rates'!X215</f>
        <v>0</v>
      </c>
      <c r="Y87" s="268">
        <f>'Initial unit rates'!Y215</f>
        <v>0</v>
      </c>
      <c r="Z87" s="256"/>
      <c r="AA87" s="256"/>
    </row>
    <row r="88" spans="4:27" x14ac:dyDescent="0.25">
      <c r="D88"/>
      <c r="F88" t="s">
        <v>197</v>
      </c>
      <c r="G88" t="s">
        <v>270</v>
      </c>
      <c r="H88" s="256"/>
      <c r="I88" s="256"/>
      <c r="J88" s="268">
        <f>'Initial unit rates'!J216</f>
        <v>0</v>
      </c>
      <c r="K88" s="268">
        <f>'Initial unit rates'!K216</f>
        <v>0</v>
      </c>
      <c r="L88" s="268">
        <f>'Initial unit rates'!L216</f>
        <v>0</v>
      </c>
      <c r="M88" s="268">
        <f>'Initial unit rates'!M216</f>
        <v>0</v>
      </c>
      <c r="N88" s="268">
        <f>'Initial unit rates'!N216</f>
        <v>0</v>
      </c>
      <c r="O88" s="268">
        <f>'Initial unit rates'!O216</f>
        <v>0</v>
      </c>
      <c r="P88" s="268">
        <f>'Initial unit rates'!P216</f>
        <v>0</v>
      </c>
      <c r="Q88" s="268">
        <f>'Initial unit rates'!Q216</f>
        <v>0</v>
      </c>
      <c r="R88" s="268">
        <f>'Initial unit rates'!R216</f>
        <v>0</v>
      </c>
      <c r="S88" s="268">
        <f>'Initial unit rates'!S216</f>
        <v>0</v>
      </c>
      <c r="T88" s="268">
        <f>'Initial unit rates'!T216</f>
        <v>0</v>
      </c>
      <c r="U88" s="268">
        <f>'Initial unit rates'!U216</f>
        <v>0</v>
      </c>
      <c r="V88" s="268">
        <f>'Initial unit rates'!V216</f>
        <v>0</v>
      </c>
      <c r="W88" s="268">
        <f>'Initial unit rates'!W216</f>
        <v>0</v>
      </c>
      <c r="X88" s="268">
        <f>'Initial unit rates'!X216</f>
        <v>0</v>
      </c>
      <c r="Y88" s="268">
        <f>'Initial unit rates'!Y216</f>
        <v>0</v>
      </c>
      <c r="Z88" s="256"/>
      <c r="AA88" s="256"/>
    </row>
    <row r="89" spans="4:27" x14ac:dyDescent="0.25">
      <c r="D89"/>
      <c r="F89" t="s">
        <v>198</v>
      </c>
      <c r="G89" t="s">
        <v>270</v>
      </c>
      <c r="H89" s="256"/>
      <c r="I89" s="256"/>
      <c r="J89" s="268">
        <f>'Initial unit rates'!J217</f>
        <v>4.3009311081143847E-3</v>
      </c>
      <c r="K89" s="268">
        <f>'Initial unit rates'!K217</f>
        <v>4.3009311081143847E-3</v>
      </c>
      <c r="L89" s="268">
        <f>'Initial unit rates'!L217</f>
        <v>4.610603199456097E-3</v>
      </c>
      <c r="M89" s="268">
        <f>'Initial unit rates'!M217</f>
        <v>4.610603199456097E-3</v>
      </c>
      <c r="N89" s="268">
        <f>'Initial unit rates'!N217</f>
        <v>3.6289123549528915E-3</v>
      </c>
      <c r="O89" s="268">
        <f>'Initial unit rates'!O217</f>
        <v>3.4685756258667753E-3</v>
      </c>
      <c r="P89" s="268">
        <f>'Initial unit rates'!P217</f>
        <v>0</v>
      </c>
      <c r="Q89" s="268">
        <f>'Initial unit rates'!Q217</f>
        <v>3.1912077722314343E-3</v>
      </c>
      <c r="R89" s="268">
        <f>'Initial unit rates'!R217</f>
        <v>-2.9494247343989314E-3</v>
      </c>
      <c r="S89" s="268">
        <f>'Initial unit rates'!S217</f>
        <v>-2.9076086937411009E-3</v>
      </c>
      <c r="T89" s="268">
        <f>'Initial unit rates'!T217</f>
        <v>-2.9494247343989314E-3</v>
      </c>
      <c r="U89" s="268">
        <f>'Initial unit rates'!U217</f>
        <v>-2.9494247343989314E-3</v>
      </c>
      <c r="V89" s="268">
        <f>'Initial unit rates'!V217</f>
        <v>-2.9076086937411009E-3</v>
      </c>
      <c r="W89" s="268">
        <f>'Initial unit rates'!W217</f>
        <v>-2.9076086937411009E-3</v>
      </c>
      <c r="X89" s="268">
        <f>'Initial unit rates'!X217</f>
        <v>0</v>
      </c>
      <c r="Y89" s="268">
        <f>'Initial unit rates'!Y217</f>
        <v>0</v>
      </c>
      <c r="Z89" s="256"/>
      <c r="AA89" s="256"/>
    </row>
    <row r="90" spans="4:27" x14ac:dyDescent="0.25">
      <c r="D90"/>
      <c r="F90" t="s">
        <v>199</v>
      </c>
      <c r="G90" t="s">
        <v>270</v>
      </c>
      <c r="H90" s="256"/>
      <c r="I90" s="256"/>
      <c r="J90" s="268">
        <f>'Initial unit rates'!J218</f>
        <v>4.6437042318197912E-4</v>
      </c>
      <c r="K90" s="268">
        <f>'Initial unit rates'!K218</f>
        <v>4.6437042318197912E-4</v>
      </c>
      <c r="L90" s="268">
        <f>'Initial unit rates'!L218</f>
        <v>4.9780563906644032E-4</v>
      </c>
      <c r="M90" s="268">
        <f>'Initial unit rates'!M218</f>
        <v>4.9780563906644032E-4</v>
      </c>
      <c r="N90" s="268">
        <f>'Initial unit rates'!N218</f>
        <v>3.9181273161536286E-4</v>
      </c>
      <c r="O90" s="268">
        <f>'Initial unit rates'!O218</f>
        <v>3.7450121630258284E-4</v>
      </c>
      <c r="P90" s="268">
        <f>'Initial unit rates'!P218</f>
        <v>0</v>
      </c>
      <c r="Q90" s="268">
        <f>'Initial unit rates'!Q218</f>
        <v>3.4455388063689028E-4</v>
      </c>
      <c r="R90" s="268">
        <f>'Initial unit rates'!R218</f>
        <v>-3.1844862836147579E-4</v>
      </c>
      <c r="S90" s="268">
        <f>'Initial unit rates'!S218</f>
        <v>0</v>
      </c>
      <c r="T90" s="268">
        <f>'Initial unit rates'!T218</f>
        <v>-3.1844862836147579E-4</v>
      </c>
      <c r="U90" s="268">
        <f>'Initial unit rates'!U218</f>
        <v>-3.1844862836147579E-4</v>
      </c>
      <c r="V90" s="268">
        <f>'Initial unit rates'!V218</f>
        <v>0</v>
      </c>
      <c r="W90" s="268">
        <f>'Initial unit rates'!W218</f>
        <v>0</v>
      </c>
      <c r="X90" s="268">
        <f>'Initial unit rates'!X218</f>
        <v>0</v>
      </c>
      <c r="Y90" s="268">
        <f>'Initial unit rates'!Y218</f>
        <v>0</v>
      </c>
      <c r="Z90" s="256"/>
      <c r="AA90" s="256"/>
    </row>
    <row r="91" spans="4:27" x14ac:dyDescent="0.25">
      <c r="D91"/>
      <c r="F91" t="s">
        <v>200</v>
      </c>
      <c r="G91" t="s">
        <v>270</v>
      </c>
      <c r="H91" s="256"/>
      <c r="I91" s="256"/>
      <c r="J91" s="268">
        <f>'Initial unit rates'!J219</f>
        <v>1.1459756784136061E-3</v>
      </c>
      <c r="K91" s="268">
        <f>'Initial unit rates'!K219</f>
        <v>1.1459756784136061E-3</v>
      </c>
      <c r="L91" s="268">
        <f>'Initial unit rates'!L219</f>
        <v>1.2284872732381659E-3</v>
      </c>
      <c r="M91" s="268">
        <f>'Initial unit rates'!M219</f>
        <v>1.2284872732381659E-3</v>
      </c>
      <c r="N91" s="268">
        <f>'Initial unit rates'!N219</f>
        <v>9.6691744027815679E-4</v>
      </c>
      <c r="O91" s="268">
        <f>'Initial unit rates'!O219</f>
        <v>0</v>
      </c>
      <c r="P91" s="268">
        <f>'Initial unit rates'!P219</f>
        <v>0</v>
      </c>
      <c r="Q91" s="268">
        <f>'Initial unit rates'!Q219</f>
        <v>8.5029180886950185E-4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270</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270</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190</v>
      </c>
      <c r="G96" s="19" t="s">
        <v>270</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192</v>
      </c>
      <c r="G97" t="s">
        <v>270</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193</v>
      </c>
      <c r="G98" t="s">
        <v>270</v>
      </c>
      <c r="H98" s="256"/>
      <c r="I98" s="256"/>
      <c r="J98" s="268">
        <f>'Initial unit rates'!J224</f>
        <v>1.1207168643316496E-3</v>
      </c>
      <c r="K98" s="268">
        <f>'Initial unit rates'!K224</f>
        <v>1.1207168643316496E-3</v>
      </c>
      <c r="L98" s="268">
        <f>'Initial unit rates'!L224</f>
        <v>1.2014097948751623E-3</v>
      </c>
      <c r="M98" s="268">
        <f>'Initial unit rates'!M224</f>
        <v>1.2014097948751623E-3</v>
      </c>
      <c r="N98" s="268">
        <f>'Initial unit rates'!N224</f>
        <v>9.4560530572186609E-4</v>
      </c>
      <c r="O98" s="268">
        <f>'Initial unit rates'!O224</f>
        <v>9.0382549764273423E-4</v>
      </c>
      <c r="P98" s="268">
        <f>'Initial unit rates'!P224</f>
        <v>7.9710928671429765E-4</v>
      </c>
      <c r="Q98" s="268">
        <f>'Initial unit rates'!Q224</f>
        <v>8.3155025691494648E-4</v>
      </c>
      <c r="R98" s="268">
        <f>'Initial unit rates'!R224</f>
        <v>-7.6854754396820898E-4</v>
      </c>
      <c r="S98" s="268">
        <f>'Initial unit rates'!S224</f>
        <v>-7.5765131224843276E-4</v>
      </c>
      <c r="T98" s="268">
        <f>'Initial unit rates'!T224</f>
        <v>-7.6854754396820898E-4</v>
      </c>
      <c r="U98" s="268">
        <f>'Initial unit rates'!U224</f>
        <v>-7.6854754396820898E-4</v>
      </c>
      <c r="V98" s="268">
        <f>'Initial unit rates'!V224</f>
        <v>-7.5765131224843276E-4</v>
      </c>
      <c r="W98" s="268">
        <f>'Initial unit rates'!W224</f>
        <v>-7.5765131224843276E-4</v>
      </c>
      <c r="X98" s="268">
        <f>'Initial unit rates'!X224</f>
        <v>-7.4893432687261191E-4</v>
      </c>
      <c r="Y98" s="268">
        <f>'Initial unit rates'!Y224</f>
        <v>-7.4893432687261191E-4</v>
      </c>
      <c r="Z98" s="256"/>
      <c r="AA98" s="256"/>
    </row>
    <row r="99" spans="3:42" x14ac:dyDescent="0.25">
      <c r="D99"/>
      <c r="F99" t="s">
        <v>194</v>
      </c>
      <c r="G99" t="s">
        <v>270</v>
      </c>
      <c r="H99" s="256"/>
      <c r="I99" s="256"/>
      <c r="J99" s="268">
        <f>'Initial unit rates'!J225</f>
        <v>1.6053314026379654E-4</v>
      </c>
      <c r="K99" s="268">
        <f>'Initial unit rates'!K225</f>
        <v>1.6053314026379654E-4</v>
      </c>
      <c r="L99" s="268">
        <f>'Initial unit rates'!L225</f>
        <v>1.7209171491321408E-4</v>
      </c>
      <c r="M99" s="268">
        <f>'Initial unit rates'!M225</f>
        <v>1.7209171491321408E-4</v>
      </c>
      <c r="N99" s="268">
        <f>'Initial unit rates'!N225</f>
        <v>1.3544990176280296E-4</v>
      </c>
      <c r="O99" s="268">
        <f>'Initial unit rates'!O225</f>
        <v>1.2946530029563262E-4</v>
      </c>
      <c r="P99" s="268">
        <f>'Initial unit rates'!P225</f>
        <v>1.1417911249688636E-4</v>
      </c>
      <c r="Q99" s="268">
        <f>'Initial unit rates'!Q225</f>
        <v>1.1911248797824777E-4</v>
      </c>
      <c r="R99" s="268">
        <f>'Initial unit rates'!R225</f>
        <v>-1.1008788624664994E-4</v>
      </c>
      <c r="S99" s="268">
        <f>'Initial unit rates'!S225</f>
        <v>-1.0852709390855941E-4</v>
      </c>
      <c r="T99" s="268">
        <f>'Initial unit rates'!T225</f>
        <v>-1.1008788624664994E-4</v>
      </c>
      <c r="U99" s="268">
        <f>'Initial unit rates'!U225</f>
        <v>-1.1008788624664994E-4</v>
      </c>
      <c r="V99" s="268">
        <f>'Initial unit rates'!V225</f>
        <v>-1.0852709390855941E-4</v>
      </c>
      <c r="W99" s="268">
        <f>'Initial unit rates'!W225</f>
        <v>-1.0852709390855941E-4</v>
      </c>
      <c r="X99" s="268">
        <f>'Initial unit rates'!X225</f>
        <v>-1.0727846003808702E-4</v>
      </c>
      <c r="Y99" s="268">
        <f>'Initial unit rates'!Y225</f>
        <v>-1.0727846003808702E-4</v>
      </c>
      <c r="Z99" s="256"/>
      <c r="AA99" s="256"/>
    </row>
    <row r="100" spans="3:42" x14ac:dyDescent="0.25">
      <c r="D100"/>
      <c r="F100" t="s">
        <v>195</v>
      </c>
      <c r="G100" t="s">
        <v>270</v>
      </c>
      <c r="H100" s="256"/>
      <c r="I100" s="256"/>
      <c r="J100" s="268">
        <f>'Initial unit rates'!J226</f>
        <v>5.6300335453228524E-3</v>
      </c>
      <c r="K100" s="268">
        <f>'Initial unit rates'!K226</f>
        <v>5.6300335453228524E-3</v>
      </c>
      <c r="L100" s="268">
        <f>'Initial unit rates'!L226</f>
        <v>6.0354025732095818E-3</v>
      </c>
      <c r="M100" s="268">
        <f>'Initial unit rates'!M226</f>
        <v>6.0354025732095818E-3</v>
      </c>
      <c r="N100" s="268">
        <f>'Initial unit rates'!N226</f>
        <v>4.7503430717304946E-3</v>
      </c>
      <c r="O100" s="268">
        <f>'Initial unit rates'!O226</f>
        <v>4.540458016469069E-3</v>
      </c>
      <c r="P100" s="268">
        <f>'Initial unit rates'!P226</f>
        <v>4.0043584301429963E-3</v>
      </c>
      <c r="Q100" s="268">
        <f>'Initial unit rates'!Q226</f>
        <v>4.1773760974364712E-3</v>
      </c>
      <c r="R100" s="268">
        <f>'Initial unit rates'!R226</f>
        <v>-3.8608756514937649E-3</v>
      </c>
      <c r="S100" s="268">
        <f>'Initial unit rates'!S226</f>
        <v>-3.8061373388544391E-3</v>
      </c>
      <c r="T100" s="268">
        <f>'Initial unit rates'!T226</f>
        <v>-3.8608756514937649E-3</v>
      </c>
      <c r="U100" s="268">
        <f>'Initial unit rates'!U226</f>
        <v>-3.8608756514937649E-3</v>
      </c>
      <c r="V100" s="268">
        <f>'Initial unit rates'!V226</f>
        <v>-3.8061373388544391E-3</v>
      </c>
      <c r="W100" s="268">
        <f>'Initial unit rates'!W226</f>
        <v>-3.8061373388544391E-3</v>
      </c>
      <c r="X100" s="268">
        <f>'Initial unit rates'!X226</f>
        <v>-3.7623466887429778E-3</v>
      </c>
      <c r="Y100" s="268">
        <f>'Initial unit rates'!Y226</f>
        <v>-3.7623466887429778E-3</v>
      </c>
      <c r="Z100" s="256"/>
      <c r="AA100" s="256"/>
    </row>
    <row r="101" spans="3:42" x14ac:dyDescent="0.25">
      <c r="D101"/>
      <c r="F101" t="s">
        <v>196</v>
      </c>
      <c r="G101" t="s">
        <v>270</v>
      </c>
      <c r="H101" s="256"/>
      <c r="I101" s="256"/>
      <c r="J101" s="268">
        <f>'Initial unit rates'!J227</f>
        <v>4.4531265756231828E-3</v>
      </c>
      <c r="K101" s="268">
        <f>'Initial unit rates'!K227</f>
        <v>4.4531265756231828E-3</v>
      </c>
      <c r="L101" s="268">
        <f>'Initial unit rates'!L227</f>
        <v>4.7737569193831344E-3</v>
      </c>
      <c r="M101" s="268">
        <f>'Initial unit rates'!M227</f>
        <v>4.7737569193831344E-3</v>
      </c>
      <c r="N101" s="268">
        <f>'Initial unit rates'!N227</f>
        <v>3.7573273419701206E-3</v>
      </c>
      <c r="O101" s="268">
        <f>'Initial unit rates'!O227</f>
        <v>3.5913168360136765E-3</v>
      </c>
      <c r="P101" s="268">
        <f>'Initial unit rates'!P227</f>
        <v>3.1672839602180278E-3</v>
      </c>
      <c r="Q101" s="268">
        <f>'Initial unit rates'!Q227</f>
        <v>3.3041338681403286E-3</v>
      </c>
      <c r="R101" s="268">
        <f>'Initial unit rates'!R227</f>
        <v>-3.0537949428607585E-3</v>
      </c>
      <c r="S101" s="268">
        <f>'Initial unit rates'!S227</f>
        <v>-3.0104991733494991E-3</v>
      </c>
      <c r="T101" s="268">
        <f>'Initial unit rates'!T227</f>
        <v>-3.0537949428607585E-3</v>
      </c>
      <c r="U101" s="268">
        <f>'Initial unit rates'!U227</f>
        <v>-3.0537949428607585E-3</v>
      </c>
      <c r="V101" s="268">
        <f>'Initial unit rates'!V227</f>
        <v>-3.0104991733494991E-3</v>
      </c>
      <c r="W101" s="268">
        <f>'Initial unit rates'!W227</f>
        <v>-3.0104991733494991E-3</v>
      </c>
      <c r="X101" s="268">
        <f>'Initial unit rates'!X227</f>
        <v>-2.9758625577404932E-3</v>
      </c>
      <c r="Y101" s="268">
        <f>'Initial unit rates'!Y227</f>
        <v>-2.9758625577404932E-3</v>
      </c>
      <c r="Z101" s="256"/>
      <c r="AA101" s="256"/>
    </row>
    <row r="102" spans="3:42" x14ac:dyDescent="0.25">
      <c r="D102"/>
      <c r="F102" t="s">
        <v>197</v>
      </c>
      <c r="G102" t="s">
        <v>270</v>
      </c>
      <c r="H102" s="256"/>
      <c r="I102" s="256"/>
      <c r="J102" s="268">
        <f>'Initial unit rates'!J228</f>
        <v>0</v>
      </c>
      <c r="K102" s="268">
        <f>'Initial unit rates'!K228</f>
        <v>0</v>
      </c>
      <c r="L102" s="268">
        <f>'Initial unit rates'!L228</f>
        <v>0</v>
      </c>
      <c r="M102" s="268">
        <f>'Initial unit rates'!M228</f>
        <v>0</v>
      </c>
      <c r="N102" s="268">
        <f>'Initial unit rates'!N228</f>
        <v>0</v>
      </c>
      <c r="O102" s="268">
        <f>'Initial unit rates'!O228</f>
        <v>0</v>
      </c>
      <c r="P102" s="268">
        <f>'Initial unit rates'!P228</f>
        <v>0</v>
      </c>
      <c r="Q102" s="268">
        <f>'Initial unit rates'!Q228</f>
        <v>0</v>
      </c>
      <c r="R102" s="268">
        <f>'Initial unit rates'!R228</f>
        <v>0</v>
      </c>
      <c r="S102" s="268">
        <f>'Initial unit rates'!S228</f>
        <v>0</v>
      </c>
      <c r="T102" s="268">
        <f>'Initial unit rates'!T228</f>
        <v>0</v>
      </c>
      <c r="U102" s="268">
        <f>'Initial unit rates'!U228</f>
        <v>0</v>
      </c>
      <c r="V102" s="268">
        <f>'Initial unit rates'!V228</f>
        <v>0</v>
      </c>
      <c r="W102" s="268">
        <f>'Initial unit rates'!W228</f>
        <v>0</v>
      </c>
      <c r="X102" s="268">
        <f>'Initial unit rates'!X228</f>
        <v>0</v>
      </c>
      <c r="Y102" s="268">
        <f>'Initial unit rates'!Y228</f>
        <v>0</v>
      </c>
      <c r="Z102" s="256"/>
      <c r="AA102" s="256"/>
    </row>
    <row r="103" spans="3:42" x14ac:dyDescent="0.25">
      <c r="D103"/>
      <c r="F103" t="s">
        <v>198</v>
      </c>
      <c r="G103" t="s">
        <v>270</v>
      </c>
      <c r="H103" s="256"/>
      <c r="I103" s="256"/>
      <c r="J103" s="268">
        <f>'Initial unit rates'!J229</f>
        <v>2.0506686713019792E-2</v>
      </c>
      <c r="K103" s="268">
        <f>'Initial unit rates'!K229</f>
        <v>2.0506686713019792E-2</v>
      </c>
      <c r="L103" s="268">
        <f>'Initial unit rates'!L229</f>
        <v>2.1983192242003784E-2</v>
      </c>
      <c r="M103" s="268">
        <f>'Initial unit rates'!M229</f>
        <v>2.1983192242003784E-2</v>
      </c>
      <c r="N103" s="268">
        <f>'Initial unit rates'!N229</f>
        <v>1.7302525174520109E-2</v>
      </c>
      <c r="O103" s="268">
        <f>'Initial unit rates'!O229</f>
        <v>1.6538045346941376E-2</v>
      </c>
      <c r="P103" s="268">
        <f>'Initial unit rates'!P229</f>
        <v>1.4585370256239436E-2</v>
      </c>
      <c r="Q103" s="268">
        <f>'Initial unit rates'!Q229</f>
        <v>1.5215565275583908E-2</v>
      </c>
      <c r="R103" s="268">
        <f>'Initial unit rates'!R229</f>
        <v>-1.4062752341659206E-2</v>
      </c>
      <c r="S103" s="268">
        <f>'Initial unit rates'!S229</f>
        <v>-1.3863374945510919E-2</v>
      </c>
      <c r="T103" s="268">
        <f>'Initial unit rates'!T229</f>
        <v>-1.4062752341659206E-2</v>
      </c>
      <c r="U103" s="268">
        <f>'Initial unit rates'!U229</f>
        <v>-1.4062752341659206E-2</v>
      </c>
      <c r="V103" s="268">
        <f>'Initial unit rates'!V229</f>
        <v>-1.3863374945510919E-2</v>
      </c>
      <c r="W103" s="268">
        <f>'Initial unit rates'!W229</f>
        <v>-1.3863374945510919E-2</v>
      </c>
      <c r="X103" s="268">
        <f>'Initial unit rates'!X229</f>
        <v>0</v>
      </c>
      <c r="Y103" s="268">
        <f>'Initial unit rates'!Y229</f>
        <v>0</v>
      </c>
      <c r="Z103" s="256"/>
      <c r="AA103" s="256"/>
    </row>
    <row r="104" spans="3:42" x14ac:dyDescent="0.25">
      <c r="D104"/>
      <c r="F104" t="s">
        <v>199</v>
      </c>
      <c r="G104" t="s">
        <v>270</v>
      </c>
      <c r="H104" s="256"/>
      <c r="I104" s="256"/>
      <c r="J104" s="268">
        <f>'Initial unit rates'!J230</f>
        <v>8.4135863795337038E-3</v>
      </c>
      <c r="K104" s="268">
        <f>'Initial unit rates'!K230</f>
        <v>8.4135863795337038E-3</v>
      </c>
      <c r="L104" s="268">
        <f>'Initial unit rates'!L230</f>
        <v>9.0193744808401265E-3</v>
      </c>
      <c r="M104" s="268">
        <f>'Initial unit rates'!M230</f>
        <v>9.0193744808401265E-3</v>
      </c>
      <c r="N104" s="268">
        <f>'Initial unit rates'!N230</f>
        <v>7.0989668968539105E-3</v>
      </c>
      <c r="O104" s="268">
        <f>'Initial unit rates'!O230</f>
        <v>6.7853122750831003E-3</v>
      </c>
      <c r="P104" s="268">
        <f>'Initial unit rates'!P230</f>
        <v>0</v>
      </c>
      <c r="Q104" s="268">
        <f>'Initial unit rates'!Q230</f>
        <v>6.2427185118247236E-3</v>
      </c>
      <c r="R104" s="268">
        <f>'Initial unit rates'!R230</f>
        <v>-5.769736633535188E-3</v>
      </c>
      <c r="S104" s="268">
        <f>'Initial unit rates'!S230</f>
        <v>0</v>
      </c>
      <c r="T104" s="268">
        <f>'Initial unit rates'!T230</f>
        <v>-5.769736633535188E-3</v>
      </c>
      <c r="U104" s="268">
        <f>'Initial unit rates'!U230</f>
        <v>-5.769736633535188E-3</v>
      </c>
      <c r="V104" s="268">
        <f>'Initial unit rates'!V230</f>
        <v>0</v>
      </c>
      <c r="W104" s="268">
        <f>'Initial unit rates'!W230</f>
        <v>0</v>
      </c>
      <c r="X104" s="268">
        <f>'Initial unit rates'!X230</f>
        <v>0</v>
      </c>
      <c r="Y104" s="268">
        <f>'Initial unit rates'!Y230</f>
        <v>0</v>
      </c>
      <c r="Z104" s="256"/>
      <c r="AA104" s="256"/>
    </row>
    <row r="105" spans="3:42" x14ac:dyDescent="0.25">
      <c r="D105"/>
      <c r="F105" t="s">
        <v>200</v>
      </c>
      <c r="G105" t="s">
        <v>270</v>
      </c>
      <c r="H105" s="256"/>
      <c r="I105" s="256"/>
      <c r="J105" s="268">
        <f>'Initial unit rates'!J231</f>
        <v>2.0763091010641662E-2</v>
      </c>
      <c r="K105" s="268">
        <f>'Initial unit rates'!K231</f>
        <v>2.0763091010641662E-2</v>
      </c>
      <c r="L105" s="268">
        <f>'Initial unit rates'!L231</f>
        <v>2.2258057950208066E-2</v>
      </c>
      <c r="M105" s="268">
        <f>'Initial unit rates'!M231</f>
        <v>2.2258057950208066E-2</v>
      </c>
      <c r="N105" s="268">
        <f>'Initial unit rates'!N231</f>
        <v>1.7518866403922171E-2</v>
      </c>
      <c r="O105" s="268">
        <f>'Initial unit rates'!O231</f>
        <v>0</v>
      </c>
      <c r="P105" s="268">
        <f>'Initial unit rates'!P231</f>
        <v>0</v>
      </c>
      <c r="Q105" s="268">
        <f>'Initial unit rates'!Q231</f>
        <v>1.5405812309734425E-2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270</v>
      </c>
      <c r="H106" s="255"/>
      <c r="I106" s="255" t="s">
        <v>155</v>
      </c>
      <c r="J106" s="269"/>
      <c r="K106" s="269"/>
      <c r="L106" s="269"/>
      <c r="M106" s="269"/>
      <c r="N106" s="269"/>
      <c r="O106" s="269"/>
      <c r="P106" s="269"/>
      <c r="Q106" s="267">
        <f>'Service model charges'!$Q$44</f>
        <v>1.1691343166507271</v>
      </c>
      <c r="R106" s="269"/>
      <c r="S106" s="269"/>
      <c r="T106" s="269"/>
      <c r="U106" s="269"/>
      <c r="V106" s="269"/>
      <c r="W106" s="269"/>
      <c r="X106" s="269"/>
      <c r="Y106" s="269"/>
      <c r="Z106" s="256"/>
      <c r="AA106" s="256" t="s">
        <v>653</v>
      </c>
    </row>
    <row r="107" spans="3:42" x14ac:dyDescent="0.25">
      <c r="D107"/>
      <c r="F107" s="28" t="s">
        <v>376</v>
      </c>
      <c r="G107" s="28" t="s">
        <v>270</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121</v>
      </c>
      <c r="H111" s="13"/>
      <c r="I111" t="s">
        <v>155</v>
      </c>
      <c r="J111" s="53"/>
      <c r="L111" s="53"/>
      <c r="AA111" t="s">
        <v>204</v>
      </c>
      <c r="AP111" s="3"/>
    </row>
    <row r="112" spans="3:42" x14ac:dyDescent="0.25">
      <c r="C112" s="27"/>
      <c r="D112"/>
      <c r="E112"/>
      <c r="F112" s="19" t="s">
        <v>192</v>
      </c>
      <c r="G112" s="19" t="s">
        <v>168</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193</v>
      </c>
      <c r="G113" t="s">
        <v>168</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194</v>
      </c>
      <c r="G114" t="s">
        <v>168</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195</v>
      </c>
      <c r="G115" t="s">
        <v>168</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196</v>
      </c>
      <c r="G116" t="s">
        <v>168</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197</v>
      </c>
      <c r="G117" t="s">
        <v>168</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198</v>
      </c>
      <c r="G118" t="s">
        <v>168</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199</v>
      </c>
      <c r="G119" t="s">
        <v>168</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200</v>
      </c>
      <c r="G120" s="28" t="s">
        <v>168</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155</v>
      </c>
      <c r="AA125" t="s">
        <v>655</v>
      </c>
    </row>
    <row r="126" spans="2:42" x14ac:dyDescent="0.25">
      <c r="E126" s="27" t="s">
        <v>620</v>
      </c>
    </row>
    <row r="127" spans="2:42" x14ac:dyDescent="0.25">
      <c r="F127" s="19" t="s">
        <v>190</v>
      </c>
      <c r="G127" s="19" t="s">
        <v>270</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25">
      <c r="F128" t="s">
        <v>192</v>
      </c>
      <c r="G128" t="s">
        <v>270</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193</v>
      </c>
      <c r="G129" t="s">
        <v>270</v>
      </c>
      <c r="H129" s="256"/>
      <c r="I129" s="256"/>
      <c r="J129" s="271">
        <f t="shared" ref="J129:K129" si="14">J24 * (1 - J$113)</f>
        <v>2.8748902672638721</v>
      </c>
      <c r="K129" s="271">
        <f t="shared" si="14"/>
        <v>2.8748902672638721</v>
      </c>
      <c r="L129" s="271">
        <f t="shared" ref="L129:M129" si="15">L24 * (1 - L$113)</f>
        <v>3.0818857431416173</v>
      </c>
      <c r="M129" s="271">
        <f t="shared" si="15"/>
        <v>3.0818857431416173</v>
      </c>
      <c r="N129" s="271">
        <f t="shared" ref="N129:P129" si="16">N24 * (1 - N$113)</f>
        <v>2.4256898210540281</v>
      </c>
      <c r="O129" s="271">
        <f t="shared" si="16"/>
        <v>2.3185152371447568</v>
      </c>
      <c r="P129" s="271">
        <f t="shared" si="16"/>
        <v>2.0447642069589094</v>
      </c>
      <c r="Q129" s="271">
        <f t="shared" ref="Q129:S129" si="17">Q24 * (1 - Q$113)</f>
        <v>6.5236536120911941</v>
      </c>
      <c r="R129" s="271">
        <f t="shared" si="17"/>
        <v>-1.9714969270150207</v>
      </c>
      <c r="S129" s="271">
        <f t="shared" si="17"/>
        <v>-1.9435456473314423</v>
      </c>
      <c r="T129" s="271">
        <f t="shared" ref="T129:U129" si="18">T24 * (1 - T$113)</f>
        <v>-1.9714969270150207</v>
      </c>
      <c r="U129" s="271">
        <f t="shared" si="18"/>
        <v>-1.9714969270150207</v>
      </c>
      <c r="V129" s="271">
        <f t="shared" ref="V129:W129" si="19">V24 * (1 - V$113)</f>
        <v>-1.9435456473314423</v>
      </c>
      <c r="W129" s="271">
        <f t="shared" si="19"/>
        <v>-1.9435456473314423</v>
      </c>
      <c r="X129" s="271">
        <f t="shared" ref="X129:Y129" si="20">X24 * (1 - X$113)</f>
        <v>-1.9211846235845802</v>
      </c>
      <c r="Y129" s="271">
        <f t="shared" si="20"/>
        <v>-1.9211846235845802</v>
      </c>
      <c r="Z129" s="256"/>
      <c r="AA129" s="256"/>
    </row>
    <row r="130" spans="4:27" x14ac:dyDescent="0.25">
      <c r="F130" t="s">
        <v>194</v>
      </c>
      <c r="G130" t="s">
        <v>270</v>
      </c>
      <c r="H130" s="256"/>
      <c r="I130" s="256"/>
      <c r="J130" s="271">
        <f t="shared" ref="J130:K130" si="21">J25 * (1 - J$114)</f>
        <v>0.41180353147708143</v>
      </c>
      <c r="K130" s="271">
        <f t="shared" si="21"/>
        <v>0.41180353147708143</v>
      </c>
      <c r="L130" s="271">
        <f t="shared" ref="L130:M130" si="22">L25 * (1 - L$114)</f>
        <v>0.44145386941758374</v>
      </c>
      <c r="M130" s="271">
        <f t="shared" si="22"/>
        <v>0.44145386941758374</v>
      </c>
      <c r="N130" s="271">
        <f t="shared" ref="N130:P130" si="23">N25 * (1 - N$114)</f>
        <v>0.34745939556460081</v>
      </c>
      <c r="O130" s="271">
        <f t="shared" si="23"/>
        <v>0.33210754974252388</v>
      </c>
      <c r="P130" s="271">
        <f t="shared" si="23"/>
        <v>9.6655365683732244E-2</v>
      </c>
      <c r="Q130" s="271">
        <f t="shared" ref="Q130:S130" si="24">Q25 * (1 - Q$114)</f>
        <v>0.93445778650507194</v>
      </c>
      <c r="R130" s="271">
        <f t="shared" si="24"/>
        <v>-0.28240013404535347</v>
      </c>
      <c r="S130" s="271">
        <f t="shared" si="24"/>
        <v>-0.27839635142656299</v>
      </c>
      <c r="T130" s="271">
        <f t="shared" ref="T130:U130" si="25">T25 * (1 - T$114)</f>
        <v>-0.28240013404535347</v>
      </c>
      <c r="U130" s="271">
        <f t="shared" si="25"/>
        <v>-0.28240013404535347</v>
      </c>
      <c r="V130" s="271">
        <f t="shared" ref="V130:W130" si="26">V25 * (1 - V$114)</f>
        <v>-0.27839635142656299</v>
      </c>
      <c r="W130" s="271">
        <f t="shared" si="26"/>
        <v>-0.27839635142656299</v>
      </c>
      <c r="X130" s="271">
        <f t="shared" ref="X130:Y130" si="27">X25 * (1 - X$114)</f>
        <v>-9.0813797359405105E-2</v>
      </c>
      <c r="Y130" s="271">
        <f t="shared" si="27"/>
        <v>-9.0813797359405105E-2</v>
      </c>
      <c r="Z130" s="256"/>
      <c r="AA130" s="256"/>
    </row>
    <row r="131" spans="4:27" x14ac:dyDescent="0.25">
      <c r="F131" t="s">
        <v>195</v>
      </c>
      <c r="G131" t="s">
        <v>270</v>
      </c>
      <c r="H131" s="256"/>
      <c r="I131" s="256"/>
      <c r="J131" s="271">
        <f t="shared" ref="J131:K131" si="28">J26 * (1 - J$115)</f>
        <v>0.96465829989243546</v>
      </c>
      <c r="K131" s="271">
        <f t="shared" si="28"/>
        <v>0.96465829989243546</v>
      </c>
      <c r="L131" s="271">
        <f t="shared" ref="L131:M131" si="29">L26 * (1 - L$115)</f>
        <v>1.0341148305014085</v>
      </c>
      <c r="M131" s="271">
        <f t="shared" si="29"/>
        <v>1.0341148305014085</v>
      </c>
      <c r="N131" s="271">
        <f t="shared" ref="N131:P131" si="30">N26 * (1 - N$115)</f>
        <v>0.81393082911348258</v>
      </c>
      <c r="O131" s="271">
        <f t="shared" si="30"/>
        <v>0.7779688123774513</v>
      </c>
      <c r="P131" s="271">
        <f t="shared" si="30"/>
        <v>0.18113375648142527</v>
      </c>
      <c r="Q131" s="271">
        <f t="shared" ref="Q131:S131" si="31">Q26 * (1 - Q$115)</f>
        <v>2.0500019935121578</v>
      </c>
      <c r="R131" s="271">
        <f t="shared" si="31"/>
        <v>-0.66152816179223994</v>
      </c>
      <c r="S131" s="271">
        <f t="shared" si="31"/>
        <v>-0.65214921809953341</v>
      </c>
      <c r="T131" s="271">
        <f t="shared" ref="T131:U131" si="32">T26 * (1 - T$115)</f>
        <v>-0.66152816179223994</v>
      </c>
      <c r="U131" s="271">
        <f t="shared" si="32"/>
        <v>-0.66152816179223994</v>
      </c>
      <c r="V131" s="271">
        <f t="shared" ref="V131:W131" si="33">V26 * (1 - V$115)</f>
        <v>-0.65214921809953341</v>
      </c>
      <c r="W131" s="271">
        <f t="shared" si="33"/>
        <v>-0.65214921809953341</v>
      </c>
      <c r="X131" s="271">
        <f t="shared" ref="X131:Y131" si="34">X26 * (1 - X$115)</f>
        <v>-0.21273320083797143</v>
      </c>
      <c r="Y131" s="271">
        <f t="shared" si="34"/>
        <v>-0.21273320083797143</v>
      </c>
      <c r="Z131" s="256"/>
      <c r="AA131" s="256"/>
    </row>
    <row r="132" spans="4:27" x14ac:dyDescent="0.25">
      <c r="F132" t="s">
        <v>196</v>
      </c>
      <c r="G132" t="s">
        <v>270</v>
      </c>
      <c r="H132" s="256"/>
      <c r="I132" s="256"/>
      <c r="J132" s="271">
        <f t="shared" ref="J132:K132" si="35">J27 * (1 - J$116)</f>
        <v>0.14497100961163584</v>
      </c>
      <c r="K132" s="271">
        <f t="shared" si="35"/>
        <v>0.14497100961163584</v>
      </c>
      <c r="L132" s="271">
        <f t="shared" ref="L132:M132" si="36">L27 * (1 - L$116)</f>
        <v>0.15540909257596328</v>
      </c>
      <c r="M132" s="271">
        <f t="shared" si="36"/>
        <v>0.15540909257596328</v>
      </c>
      <c r="N132" s="271">
        <f t="shared" ref="N132:P132" si="37">N27 * (1 - N$116)</f>
        <v>0.12231934775637615</v>
      </c>
      <c r="O132" s="271">
        <f t="shared" si="37"/>
        <v>0.11691489534615554</v>
      </c>
      <c r="P132" s="271">
        <f t="shared" si="37"/>
        <v>0</v>
      </c>
      <c r="Q132" s="271">
        <f t="shared" ref="Q132:S132" si="38">Q27 * (1 - Q$116)</f>
        <v>0.30807889046148473</v>
      </c>
      <c r="R132" s="271">
        <f t="shared" si="38"/>
        <v>-9.9415933613222679E-2</v>
      </c>
      <c r="S132" s="271">
        <f t="shared" si="38"/>
        <v>-9.8006444951409505E-2</v>
      </c>
      <c r="T132" s="271">
        <f t="shared" ref="T132:U132" si="39">T27 * (1 - T$116)</f>
        <v>-9.9415933613222679E-2</v>
      </c>
      <c r="U132" s="271">
        <f t="shared" si="39"/>
        <v>-9.9415933613222679E-2</v>
      </c>
      <c r="V132" s="271">
        <f t="shared" ref="V132:W132" si="40">V27 * (1 - V$116)</f>
        <v>-9.8006444951409505E-2</v>
      </c>
      <c r="W132" s="271">
        <f t="shared" si="40"/>
        <v>-9.8006444951409505E-2</v>
      </c>
      <c r="X132" s="271">
        <f t="shared" ref="X132:Y132" si="41">X27 * (1 - X$116)</f>
        <v>0</v>
      </c>
      <c r="Y132" s="271">
        <f t="shared" si="41"/>
        <v>0</v>
      </c>
      <c r="Z132" s="256"/>
      <c r="AA132" s="256"/>
    </row>
    <row r="133" spans="4:27" x14ac:dyDescent="0.25">
      <c r="F133" t="s">
        <v>197</v>
      </c>
      <c r="G133" t="s">
        <v>270</v>
      </c>
      <c r="H133" s="256"/>
      <c r="I133" s="256"/>
      <c r="J133" s="271">
        <f t="shared" ref="J133:K133" si="42">J28 * (1 - J$117)</f>
        <v>0</v>
      </c>
      <c r="K133" s="271">
        <f t="shared" si="42"/>
        <v>0</v>
      </c>
      <c r="L133" s="271">
        <f t="shared" ref="L133:M133" si="43">L28 * (1 - L$117)</f>
        <v>0</v>
      </c>
      <c r="M133" s="271">
        <f t="shared" si="43"/>
        <v>0</v>
      </c>
      <c r="N133" s="271">
        <f t="shared" ref="N133:P133" si="44">N28 * (1 - N$117)</f>
        <v>0</v>
      </c>
      <c r="O133" s="271">
        <f t="shared" si="44"/>
        <v>0</v>
      </c>
      <c r="P133" s="271">
        <f t="shared" si="44"/>
        <v>0</v>
      </c>
      <c r="Q133" s="271">
        <f t="shared" ref="Q133:S133" si="45">Q28 * (1 - Q$117)</f>
        <v>0</v>
      </c>
      <c r="R133" s="271">
        <f t="shared" si="45"/>
        <v>0</v>
      </c>
      <c r="S133" s="271">
        <f t="shared" si="45"/>
        <v>0</v>
      </c>
      <c r="T133" s="271">
        <f t="shared" ref="T133:U133" si="46">T28 * (1 - T$117)</f>
        <v>0</v>
      </c>
      <c r="U133" s="271">
        <f t="shared" si="46"/>
        <v>0</v>
      </c>
      <c r="V133" s="271">
        <f t="shared" ref="V133:W133" si="47">V28 * (1 - V$117)</f>
        <v>0</v>
      </c>
      <c r="W133" s="271">
        <f t="shared" si="47"/>
        <v>0</v>
      </c>
      <c r="X133" s="271">
        <f t="shared" ref="X133:Y133" si="48">X28 * (1 - X$117)</f>
        <v>0</v>
      </c>
      <c r="Y133" s="271">
        <f t="shared" si="48"/>
        <v>0</v>
      </c>
      <c r="Z133" s="256"/>
      <c r="AA133" s="256"/>
    </row>
    <row r="134" spans="4:27" x14ac:dyDescent="0.25">
      <c r="F134" t="s">
        <v>198</v>
      </c>
      <c r="G134" t="s">
        <v>270</v>
      </c>
      <c r="H134" s="256"/>
      <c r="I134" s="256"/>
      <c r="J134" s="271">
        <f t="shared" ref="J134:K134" si="49">J29 * (1 - J$118)</f>
        <v>0.6675927634417097</v>
      </c>
      <c r="K134" s="271">
        <f t="shared" si="49"/>
        <v>0.6675927634417097</v>
      </c>
      <c r="L134" s="271">
        <f t="shared" ref="L134:M134" si="50">L29 * (1 - L$118)</f>
        <v>0.7156602265148917</v>
      </c>
      <c r="M134" s="271">
        <f t="shared" si="50"/>
        <v>0.7156602265148917</v>
      </c>
      <c r="N134" s="271">
        <f t="shared" ref="N134:P134" si="51">N29 * (1 - N$118)</f>
        <v>0.45062533045648268</v>
      </c>
      <c r="O134" s="271">
        <f t="shared" si="51"/>
        <v>0</v>
      </c>
      <c r="P134" s="271">
        <f t="shared" si="51"/>
        <v>0</v>
      </c>
      <c r="Q134" s="271">
        <f t="shared" ref="Q134:S134" si="52">Q29 * (1 - Q$118)</f>
        <v>1.4187059770930266</v>
      </c>
      <c r="R134" s="271">
        <f t="shared" si="52"/>
        <v>-0.45781124121840888</v>
      </c>
      <c r="S134" s="271">
        <f t="shared" si="52"/>
        <v>-0.45132053363969793</v>
      </c>
      <c r="T134" s="271">
        <f t="shared" ref="T134:U134" si="53">T29 * (1 - T$118)</f>
        <v>-0.45781124121840888</v>
      </c>
      <c r="U134" s="271">
        <f t="shared" si="53"/>
        <v>-0.45781124121840888</v>
      </c>
      <c r="V134" s="271">
        <f t="shared" ref="V134:W134" si="54">V29 * (1 - V$118)</f>
        <v>-0.45132053363969793</v>
      </c>
      <c r="W134" s="271">
        <f t="shared" si="54"/>
        <v>-0.45132053363969793</v>
      </c>
      <c r="X134" s="271">
        <f t="shared" ref="X134:Y134" si="55">X29 * (1 - X$118)</f>
        <v>0</v>
      </c>
      <c r="Y134" s="271">
        <f t="shared" si="55"/>
        <v>0</v>
      </c>
      <c r="Z134" s="256"/>
      <c r="AA134" s="256"/>
    </row>
    <row r="135" spans="4:27" x14ac:dyDescent="0.25">
      <c r="F135" t="s">
        <v>199</v>
      </c>
      <c r="G135" t="s">
        <v>270</v>
      </c>
      <c r="H135" s="256"/>
      <c r="I135" s="256"/>
      <c r="J135" s="271">
        <f t="shared" ref="J135:K135" si="56">J30 * (1 - J$119)</f>
        <v>7.2079818597366105E-2</v>
      </c>
      <c r="K135" s="271">
        <f t="shared" si="56"/>
        <v>7.2079818597366105E-2</v>
      </c>
      <c r="L135" s="271">
        <f t="shared" ref="L135:M135" si="57">L30 * (1 - L$119)</f>
        <v>7.7269650196032089E-2</v>
      </c>
      <c r="M135" s="271">
        <f t="shared" si="57"/>
        <v>7.7269650196032089E-2</v>
      </c>
      <c r="N135" s="271">
        <f t="shared" ref="N135:P135" si="58">N30 * (1 - N$119)</f>
        <v>0</v>
      </c>
      <c r="O135" s="271">
        <f t="shared" si="58"/>
        <v>0</v>
      </c>
      <c r="P135" s="271">
        <f t="shared" si="58"/>
        <v>0</v>
      </c>
      <c r="Q135" s="271">
        <f t="shared" ref="Q135:S135" si="59">Q30 * (1 - Q$119)</f>
        <v>0.15317731867654244</v>
      </c>
      <c r="R135" s="271">
        <f t="shared" si="59"/>
        <v>-4.9429761713915284E-2</v>
      </c>
      <c r="S135" s="271">
        <f t="shared" si="59"/>
        <v>0</v>
      </c>
      <c r="T135" s="271">
        <f t="shared" ref="T135:U135" si="60">T30 * (1 - T$119)</f>
        <v>-4.9429761713915284E-2</v>
      </c>
      <c r="U135" s="271">
        <f t="shared" si="60"/>
        <v>-4.9429761713915284E-2</v>
      </c>
      <c r="V135" s="271">
        <f t="shared" ref="V135:W135" si="61">V30 * (1 - V$119)</f>
        <v>0</v>
      </c>
      <c r="W135" s="271">
        <f t="shared" si="61"/>
        <v>0</v>
      </c>
      <c r="X135" s="271">
        <f t="shared" ref="X135:Y135" si="62">X30 * (1 - X$119)</f>
        <v>0</v>
      </c>
      <c r="Y135" s="271">
        <f t="shared" si="62"/>
        <v>0</v>
      </c>
      <c r="Z135" s="256"/>
      <c r="AA135" s="256"/>
    </row>
    <row r="136" spans="4:27" x14ac:dyDescent="0.25">
      <c r="F136" t="s">
        <v>200</v>
      </c>
      <c r="G136" t="s">
        <v>270</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0.37801176156978805</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270</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270</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190</v>
      </c>
      <c r="G141" s="19" t="s">
        <v>270</v>
      </c>
      <c r="H141" s="255"/>
      <c r="I141" s="255"/>
      <c r="J141" s="404">
        <f t="shared" ref="J141:K141" si="70">J36 * (1 - J$112)</f>
        <v>0.99751119697271196</v>
      </c>
      <c r="K141" s="404">
        <f t="shared" si="70"/>
        <v>0.99751119697271196</v>
      </c>
      <c r="L141" s="404">
        <f t="shared" ref="L141:M141" si="71">L36 * (1 - L$112)</f>
        <v>1.0693331747580623</v>
      </c>
      <c r="M141" s="404">
        <f t="shared" si="71"/>
        <v>1.0693331747580623</v>
      </c>
      <c r="N141" s="404">
        <f t="shared" ref="N141:P141" si="72">N36 * (1 - N$112)</f>
        <v>0.8416504742586195</v>
      </c>
      <c r="O141" s="404">
        <f t="shared" si="72"/>
        <v>0.80446371666382011</v>
      </c>
      <c r="P141" s="404">
        <f t="shared" si="72"/>
        <v>0.70947931990175273</v>
      </c>
      <c r="Q141" s="404">
        <f t="shared" ref="Q141:S141" si="73">Q36 * (1 - Q$112)</f>
        <v>2.4288328971656692</v>
      </c>
      <c r="R141" s="404">
        <f t="shared" si="73"/>
        <v>-0.68405750365089435</v>
      </c>
      <c r="S141" s="404">
        <f t="shared" si="73"/>
        <v>-0.6743591458486603</v>
      </c>
      <c r="T141" s="404">
        <f t="shared" ref="T141:U141" si="74">T36 * (1 - T$112)</f>
        <v>-0.68405750365089435</v>
      </c>
      <c r="U141" s="404">
        <f t="shared" si="74"/>
        <v>-0.68405750365089435</v>
      </c>
      <c r="V141" s="404">
        <f t="shared" ref="V141:W141" si="75">V36 * (1 - V$112)</f>
        <v>-0.6743591458486603</v>
      </c>
      <c r="W141" s="404">
        <f t="shared" si="75"/>
        <v>-0.6743591458486603</v>
      </c>
      <c r="X141" s="404">
        <f t="shared" ref="X141:Y141" si="76">X36 * (1 - X$112)</f>
        <v>-0.66660045960687331</v>
      </c>
      <c r="Y141" s="404">
        <f t="shared" si="76"/>
        <v>-0.66660045960687331</v>
      </c>
      <c r="Z141" s="256"/>
      <c r="AA141" s="256"/>
    </row>
    <row r="142" spans="4:27" x14ac:dyDescent="0.25">
      <c r="F142" t="s">
        <v>192</v>
      </c>
      <c r="G142" t="s">
        <v>270</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193</v>
      </c>
      <c r="G143" t="s">
        <v>270</v>
      </c>
      <c r="H143" s="256"/>
      <c r="I143" s="256"/>
      <c r="J143" s="271">
        <f t="shared" ref="J143:K143" si="84">J38 * (1 - J$113)</f>
        <v>2.6044011836027741</v>
      </c>
      <c r="K143" s="271">
        <f t="shared" si="84"/>
        <v>2.6044011836027741</v>
      </c>
      <c r="L143" s="271">
        <f t="shared" ref="L143:M143" si="85">L38 * (1 - L$113)</f>
        <v>2.7919211277603293</v>
      </c>
      <c r="M143" s="271">
        <f t="shared" si="85"/>
        <v>2.7919211277603293</v>
      </c>
      <c r="N143" s="271">
        <f t="shared" ref="N143:P143" si="86">N38 * (1 - N$113)</f>
        <v>2.1974645477578023</v>
      </c>
      <c r="O143" s="271">
        <f t="shared" si="86"/>
        <v>2.1003736721985438</v>
      </c>
      <c r="P143" s="271">
        <f t="shared" si="86"/>
        <v>1.8523789869241576</v>
      </c>
      <c r="Q143" s="271">
        <f t="shared" ref="Q143:S143" si="87">Q38 * (1 - Q$113)</f>
        <v>5.9098642415019764</v>
      </c>
      <c r="R143" s="271">
        <f t="shared" si="87"/>
        <v>-1.7860051872775966</v>
      </c>
      <c r="S143" s="271">
        <f t="shared" si="87"/>
        <v>-1.7606837526753618</v>
      </c>
      <c r="T143" s="271">
        <f t="shared" ref="T143:U143" si="88">T38 * (1 - T$113)</f>
        <v>-1.7860051872775966</v>
      </c>
      <c r="U143" s="271">
        <f t="shared" si="88"/>
        <v>-1.7860051872775966</v>
      </c>
      <c r="V143" s="271">
        <f t="shared" ref="V143:W143" si="89">V38 * (1 - V$113)</f>
        <v>-1.7606837526753618</v>
      </c>
      <c r="W143" s="271">
        <f t="shared" si="89"/>
        <v>-1.7606837526753618</v>
      </c>
      <c r="X143" s="271">
        <f t="shared" ref="X143:Y143" si="90">X38 * (1 - X$113)</f>
        <v>-1.7404266049935746</v>
      </c>
      <c r="Y143" s="271">
        <f t="shared" si="90"/>
        <v>-1.7404266049935746</v>
      </c>
      <c r="Z143" s="256"/>
      <c r="AA143" s="256"/>
    </row>
    <row r="144" spans="4:27" x14ac:dyDescent="0.25">
      <c r="F144" t="s">
        <v>194</v>
      </c>
      <c r="G144" t="s">
        <v>270</v>
      </c>
      <c r="H144" s="256"/>
      <c r="I144" s="256"/>
      <c r="J144" s="271">
        <f t="shared" ref="J144:K144" si="91">J39 * (1 - J$114)</f>
        <v>0.37305827530295571</v>
      </c>
      <c r="K144" s="271">
        <f t="shared" si="91"/>
        <v>0.37305827530295571</v>
      </c>
      <c r="L144" s="271">
        <f t="shared" ref="L144:M144" si="92">L39 * (1 - L$114)</f>
        <v>0.39991890929159163</v>
      </c>
      <c r="M144" s="271">
        <f t="shared" si="92"/>
        <v>0.39991890929159163</v>
      </c>
      <c r="N144" s="271">
        <f t="shared" ref="N144:P144" si="93">N39 * (1 - N$114)</f>
        <v>0.31476807006049551</v>
      </c>
      <c r="O144" s="271">
        <f t="shared" si="93"/>
        <v>0.30086062952797138</v>
      </c>
      <c r="P144" s="271">
        <f t="shared" si="93"/>
        <v>0.26533750422944113</v>
      </c>
      <c r="Q144" s="271">
        <f t="shared" ref="Q144:S144" si="94">Q39 * (1 - Q$114)</f>
        <v>0.84653768977306876</v>
      </c>
      <c r="R144" s="271">
        <f t="shared" si="94"/>
        <v>-0.25583002305590069</v>
      </c>
      <c r="S144" s="271">
        <f t="shared" si="94"/>
        <v>-0.25220294333393606</v>
      </c>
      <c r="T144" s="271">
        <f t="shared" ref="T144:U144" si="95">T39 * (1 - T$114)</f>
        <v>-0.25583002305590069</v>
      </c>
      <c r="U144" s="271">
        <f t="shared" si="95"/>
        <v>-0.25583002305590069</v>
      </c>
      <c r="V144" s="271">
        <f t="shared" ref="V144:W144" si="96">V39 * (1 - V$114)</f>
        <v>-0.25220294333393606</v>
      </c>
      <c r="W144" s="271">
        <f t="shared" si="96"/>
        <v>-0.25220294333393606</v>
      </c>
      <c r="X144" s="271">
        <f t="shared" ref="X144:Y144" si="97">X39 * (1 - X$114)</f>
        <v>-0.24930127955636441</v>
      </c>
      <c r="Y144" s="271">
        <f t="shared" si="97"/>
        <v>-0.24930127955636441</v>
      </c>
      <c r="Z144" s="256"/>
      <c r="AA144" s="256"/>
    </row>
    <row r="145" spans="3:27" x14ac:dyDescent="0.25">
      <c r="F145" t="s">
        <v>195</v>
      </c>
      <c r="G145" t="s">
        <v>270</v>
      </c>
      <c r="H145" s="256"/>
      <c r="I145" s="256"/>
      <c r="J145" s="271">
        <f t="shared" ref="J145:K145" si="98">J40 * (1 - J$115)</f>
        <v>0.87389673498849474</v>
      </c>
      <c r="K145" s="271">
        <f t="shared" si="98"/>
        <v>0.87389673498849474</v>
      </c>
      <c r="L145" s="271">
        <f t="shared" ref="L145:M145" si="99">L40 * (1 - L$115)</f>
        <v>0.93681832632252271</v>
      </c>
      <c r="M145" s="271">
        <f t="shared" si="99"/>
        <v>0.93681832632252271</v>
      </c>
      <c r="N145" s="271">
        <f t="shared" ref="N145:P145" si="100">N40 * (1 - N$115)</f>
        <v>0.73735072216562458</v>
      </c>
      <c r="O145" s="271">
        <f t="shared" si="100"/>
        <v>0.70477225473034344</v>
      </c>
      <c r="P145" s="271">
        <f t="shared" si="100"/>
        <v>0.49724687849971921</v>
      </c>
      <c r="Q145" s="271">
        <f t="shared" ref="Q145:S145" si="101">Q40 * (1 - Q$115)</f>
        <v>1.8571239671601241</v>
      </c>
      <c r="R145" s="271">
        <f t="shared" si="101"/>
        <v>-0.59928712659979322</v>
      </c>
      <c r="S145" s="271">
        <f t="shared" si="101"/>
        <v>-0.59079061724346338</v>
      </c>
      <c r="T145" s="271">
        <f t="shared" ref="T145:U145" si="102">T40 * (1 - T$115)</f>
        <v>-0.59928712659979322</v>
      </c>
      <c r="U145" s="271">
        <f t="shared" si="102"/>
        <v>-0.59928712659979322</v>
      </c>
      <c r="V145" s="271">
        <f t="shared" ref="V145:W145" si="103">V40 * (1 - V$115)</f>
        <v>-0.59079061724346338</v>
      </c>
      <c r="W145" s="271">
        <f t="shared" si="103"/>
        <v>-0.59079061724346338</v>
      </c>
      <c r="X145" s="271">
        <f t="shared" ref="X145:Y145" si="104">X40 * (1 - X$115)</f>
        <v>-0.58399340975839953</v>
      </c>
      <c r="Y145" s="271">
        <f t="shared" si="104"/>
        <v>-0.58399340975839953</v>
      </c>
      <c r="Z145" s="256"/>
      <c r="AA145" s="256"/>
    </row>
    <row r="146" spans="3:27" x14ac:dyDescent="0.25">
      <c r="F146" t="s">
        <v>196</v>
      </c>
      <c r="G146" t="s">
        <v>270</v>
      </c>
      <c r="H146" s="256"/>
      <c r="I146" s="256"/>
      <c r="J146" s="271">
        <f t="shared" ref="J146:K146" si="105">J41 * (1 - J$116)</f>
        <v>0.69121662306266674</v>
      </c>
      <c r="K146" s="271">
        <f t="shared" si="105"/>
        <v>0.69121662306266674</v>
      </c>
      <c r="L146" s="271">
        <f t="shared" ref="L146:M146" si="106">L41 * (1 - L$116)</f>
        <v>0.74098503177540609</v>
      </c>
      <c r="M146" s="271">
        <f t="shared" si="106"/>
        <v>0.74098503177540609</v>
      </c>
      <c r="N146" s="271">
        <f t="shared" ref="N146:P146" si="107">N41 * (1 - N$116)</f>
        <v>0.58321430414184072</v>
      </c>
      <c r="O146" s="271">
        <f t="shared" si="107"/>
        <v>0.55744606706807642</v>
      </c>
      <c r="P146" s="271">
        <f t="shared" si="107"/>
        <v>0</v>
      </c>
      <c r="Q146" s="271">
        <f t="shared" ref="Q146:S146" si="108">Q41 * (1 - Q$116)</f>
        <v>1.4689092037928988</v>
      </c>
      <c r="R146" s="271">
        <f t="shared" si="108"/>
        <v>-0.47401163925700163</v>
      </c>
      <c r="S146" s="271">
        <f t="shared" si="108"/>
        <v>-0.46729124739607997</v>
      </c>
      <c r="T146" s="271">
        <f t="shared" ref="T146:U146" si="109">T41 * (1 - T$116)</f>
        <v>-0.47401163925700163</v>
      </c>
      <c r="U146" s="271">
        <f t="shared" si="109"/>
        <v>-0.47401163925700163</v>
      </c>
      <c r="V146" s="271">
        <f t="shared" ref="V146:W146" si="110">V41 * (1 - V$116)</f>
        <v>-0.46729124739607997</v>
      </c>
      <c r="W146" s="271">
        <f t="shared" si="110"/>
        <v>-0.46729124739607997</v>
      </c>
      <c r="X146" s="271">
        <f t="shared" ref="X146:Y146" si="111">X41 * (1 - X$116)</f>
        <v>-0.46191493390734273</v>
      </c>
      <c r="Y146" s="271">
        <f t="shared" si="111"/>
        <v>-0.46191493390734273</v>
      </c>
      <c r="Z146" s="256"/>
      <c r="AA146" s="256"/>
    </row>
    <row r="147" spans="3:27" x14ac:dyDescent="0.25">
      <c r="F147" t="s">
        <v>197</v>
      </c>
      <c r="G147" t="s">
        <v>270</v>
      </c>
      <c r="H147" s="256"/>
      <c r="I147" s="256"/>
      <c r="J147" s="271">
        <f t="shared" ref="J147:K147" si="112">J42 * (1 - J$117)</f>
        <v>0</v>
      </c>
      <c r="K147" s="271">
        <f t="shared" si="112"/>
        <v>0</v>
      </c>
      <c r="L147" s="271">
        <f t="shared" ref="L147:M147" si="113">L42 * (1 - L$117)</f>
        <v>0</v>
      </c>
      <c r="M147" s="271">
        <f t="shared" si="113"/>
        <v>0</v>
      </c>
      <c r="N147" s="271">
        <f t="shared" ref="N147:P147" si="114">N42 * (1 - N$117)</f>
        <v>0</v>
      </c>
      <c r="O147" s="271">
        <f t="shared" si="114"/>
        <v>0</v>
      </c>
      <c r="P147" s="271">
        <f t="shared" si="114"/>
        <v>0</v>
      </c>
      <c r="Q147" s="271">
        <f t="shared" ref="Q147:S147" si="115">Q42 * (1 - Q$117)</f>
        <v>0</v>
      </c>
      <c r="R147" s="271">
        <f t="shared" si="115"/>
        <v>0</v>
      </c>
      <c r="S147" s="271">
        <f t="shared" si="115"/>
        <v>0</v>
      </c>
      <c r="T147" s="271">
        <f t="shared" ref="T147:U147" si="116">T42 * (1 - T$117)</f>
        <v>0</v>
      </c>
      <c r="U147" s="271">
        <f t="shared" si="116"/>
        <v>0</v>
      </c>
      <c r="V147" s="271">
        <f t="shared" ref="V147:W147" si="117">V42 * (1 - V$117)</f>
        <v>0</v>
      </c>
      <c r="W147" s="271">
        <f t="shared" si="117"/>
        <v>0</v>
      </c>
      <c r="X147" s="271">
        <f t="shared" ref="X147:Y147" si="118">X42 * (1 - X$117)</f>
        <v>0</v>
      </c>
      <c r="Y147" s="271">
        <f t="shared" si="118"/>
        <v>0</v>
      </c>
      <c r="Z147" s="256"/>
      <c r="AA147" s="256"/>
    </row>
    <row r="148" spans="3:27" x14ac:dyDescent="0.25">
      <c r="F148" t="s">
        <v>198</v>
      </c>
      <c r="G148" t="s">
        <v>270</v>
      </c>
      <c r="H148" s="256"/>
      <c r="I148" s="256"/>
      <c r="J148" s="271">
        <f t="shared" ref="J148:K148" si="119">J43 * (1 - J$118)</f>
        <v>3.1830585767695077</v>
      </c>
      <c r="K148" s="271">
        <f t="shared" si="119"/>
        <v>3.1830585767695077</v>
      </c>
      <c r="L148" s="271">
        <f t="shared" ref="L148:M148" si="120">L43 * (1 - L$118)</f>
        <v>3.4122425328834987</v>
      </c>
      <c r="M148" s="271">
        <f t="shared" si="120"/>
        <v>3.4122425328834987</v>
      </c>
      <c r="N148" s="271">
        <f t="shared" ref="N148:P148" si="121">N43 * (1 - N$118)</f>
        <v>2.1485655650674849</v>
      </c>
      <c r="O148" s="271">
        <f t="shared" si="121"/>
        <v>0</v>
      </c>
      <c r="P148" s="271">
        <f t="shared" si="121"/>
        <v>0</v>
      </c>
      <c r="Q148" s="271">
        <f t="shared" ref="Q148:S148" si="122">Q43 * (1 - Q$118)</f>
        <v>6.7643396926881421</v>
      </c>
      <c r="R148" s="271">
        <f t="shared" si="122"/>
        <v>-2.1828277322676337</v>
      </c>
      <c r="S148" s="271">
        <f t="shared" si="122"/>
        <v>-2.1518802691447472</v>
      </c>
      <c r="T148" s="271">
        <f t="shared" ref="T148:U148" si="123">T43 * (1 - T$118)</f>
        <v>-2.1828277322676337</v>
      </c>
      <c r="U148" s="271">
        <f t="shared" si="123"/>
        <v>-2.1828277322676337</v>
      </c>
      <c r="V148" s="271">
        <f t="shared" ref="V148:W148" si="124">V43 * (1 - V$118)</f>
        <v>-2.1518802691447472</v>
      </c>
      <c r="W148" s="271">
        <f t="shared" si="124"/>
        <v>-2.1518802691447472</v>
      </c>
      <c r="X148" s="271">
        <f t="shared" ref="X148:Y148" si="125">X43 * (1 - X$118)</f>
        <v>0</v>
      </c>
      <c r="Y148" s="271">
        <f t="shared" si="125"/>
        <v>0</v>
      </c>
      <c r="Z148" s="256"/>
      <c r="AA148" s="256"/>
    </row>
    <row r="149" spans="3:27" x14ac:dyDescent="0.25">
      <c r="F149" t="s">
        <v>199</v>
      </c>
      <c r="G149" t="s">
        <v>270</v>
      </c>
      <c r="H149" s="256"/>
      <c r="I149" s="256"/>
      <c r="J149" s="271">
        <f t="shared" ref="J149:K149" si="126">J44 * (1 - J$119)</f>
        <v>1.3059612535925915</v>
      </c>
      <c r="K149" s="271">
        <f t="shared" si="126"/>
        <v>1.3059612535925915</v>
      </c>
      <c r="L149" s="271">
        <f t="shared" ref="L149:M149" si="127">L44 * (1 - L$119)</f>
        <v>1.3999919977373325</v>
      </c>
      <c r="M149" s="271">
        <f t="shared" si="127"/>
        <v>1.3999919977373325</v>
      </c>
      <c r="N149" s="271">
        <f t="shared" ref="N149:P149" si="128">N44 * (1 - N$119)</f>
        <v>0</v>
      </c>
      <c r="O149" s="271">
        <f t="shared" si="128"/>
        <v>0</v>
      </c>
      <c r="P149" s="271">
        <f t="shared" si="128"/>
        <v>0</v>
      </c>
      <c r="Q149" s="271">
        <f t="shared" ref="Q149:S149" si="129">Q44 * (1 - Q$119)</f>
        <v>2.7753072498448144</v>
      </c>
      <c r="R149" s="271">
        <f t="shared" si="129"/>
        <v>-0.89558152099798372</v>
      </c>
      <c r="S149" s="271">
        <f t="shared" si="129"/>
        <v>0</v>
      </c>
      <c r="T149" s="271">
        <f t="shared" ref="T149:U149" si="130">T44 * (1 - T$119)</f>
        <v>-0.89558152099798372</v>
      </c>
      <c r="U149" s="271">
        <f t="shared" si="130"/>
        <v>-0.89558152099798372</v>
      </c>
      <c r="V149" s="271">
        <f t="shared" ref="V149:W149" si="131">V44 * (1 - V$119)</f>
        <v>0</v>
      </c>
      <c r="W149" s="271">
        <f t="shared" si="131"/>
        <v>0</v>
      </c>
      <c r="X149" s="271">
        <f t="shared" ref="X149:Y149" si="132">X44 * (1 - X$119)</f>
        <v>0</v>
      </c>
      <c r="Y149" s="271">
        <f t="shared" si="132"/>
        <v>0</v>
      </c>
      <c r="Z149" s="256"/>
      <c r="AA149" s="256"/>
    </row>
    <row r="150" spans="3:27" x14ac:dyDescent="0.25">
      <c r="F150" t="s">
        <v>200</v>
      </c>
      <c r="G150" t="s">
        <v>270</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6.848917264484677</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270</v>
      </c>
      <c r="H151" s="255"/>
      <c r="I151" s="255" t="s">
        <v>155</v>
      </c>
      <c r="J151" s="269"/>
      <c r="K151" s="269"/>
      <c r="L151" s="269"/>
      <c r="M151" s="269"/>
      <c r="N151" s="269"/>
      <c r="O151" s="269"/>
      <c r="P151" s="269"/>
      <c r="Q151" s="270">
        <f t="shared" ref="Q151" si="140">Q46</f>
        <v>1.1691343166507271</v>
      </c>
      <c r="R151" s="269"/>
      <c r="S151" s="269"/>
      <c r="T151" s="269"/>
      <c r="U151" s="269"/>
      <c r="V151" s="269"/>
      <c r="W151" s="269"/>
      <c r="X151" s="269"/>
      <c r="Y151" s="269"/>
      <c r="Z151" s="256"/>
      <c r="AA151" s="256" t="s">
        <v>653</v>
      </c>
    </row>
    <row r="152" spans="3:27" x14ac:dyDescent="0.25">
      <c r="D152"/>
      <c r="F152" s="28" t="s">
        <v>376</v>
      </c>
      <c r="G152" s="28" t="s">
        <v>270</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155</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190</v>
      </c>
      <c r="G157" s="19" t="s">
        <v>270</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25">
      <c r="F158" t="s">
        <v>192</v>
      </c>
      <c r="G158" t="s">
        <v>270</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193</v>
      </c>
      <c r="G159" t="s">
        <v>270</v>
      </c>
      <c r="H159" s="256"/>
      <c r="I159" s="256"/>
      <c r="J159" s="271">
        <f t="shared" ref="J159:K159" si="155">J54 * (1 - J$113)</f>
        <v>6.3517458469508695E-2</v>
      </c>
      <c r="K159" s="271">
        <f t="shared" si="155"/>
        <v>6.3517458469508695E-2</v>
      </c>
      <c r="L159" s="271">
        <f t="shared" ref="L159:M159" si="156">L54 * (1 - L$113)</f>
        <v>6.8090790082250247E-2</v>
      </c>
      <c r="M159" s="271">
        <f t="shared" si="156"/>
        <v>6.8090790082250247E-2</v>
      </c>
      <c r="N159" s="271">
        <f t="shared" ref="N159:P159" si="157">N54 * (1 - N$113)</f>
        <v>5.3592881169459795E-2</v>
      </c>
      <c r="O159" s="271">
        <f t="shared" si="157"/>
        <v>5.1224979597716366E-2</v>
      </c>
      <c r="P159" s="271">
        <f t="shared" si="157"/>
        <v>4.5176759292124141E-2</v>
      </c>
      <c r="Q159" s="271">
        <f t="shared" ref="Q159:S159" si="158">Q54 * (1 - Q$113)</f>
        <v>7.4515203183281836E-2</v>
      </c>
      <c r="R159" s="271">
        <f t="shared" si="158"/>
        <v>-4.35580013645602E-2</v>
      </c>
      <c r="S159" s="271">
        <f t="shared" si="158"/>
        <v>-4.2940449360336752E-2</v>
      </c>
      <c r="T159" s="271">
        <f t="shared" ref="T159:U159" si="159">T54 * (1 - T$113)</f>
        <v>-4.35580013645602E-2</v>
      </c>
      <c r="U159" s="271">
        <f t="shared" si="159"/>
        <v>-4.35580013645602E-2</v>
      </c>
      <c r="V159" s="271">
        <f t="shared" ref="V159:W159" si="160">V54 * (1 - V$113)</f>
        <v>-4.2940449360336752E-2</v>
      </c>
      <c r="W159" s="271">
        <f t="shared" si="160"/>
        <v>-4.2940449360336752E-2</v>
      </c>
      <c r="X159" s="271">
        <f t="shared" ref="X159:Y159" si="161">X54 * (1 - X$113)</f>
        <v>-4.2446407756957988E-2</v>
      </c>
      <c r="Y159" s="271">
        <f t="shared" si="161"/>
        <v>-4.2446407756957988E-2</v>
      </c>
      <c r="Z159" s="256"/>
      <c r="AA159" s="256"/>
    </row>
    <row r="160" spans="3:27" x14ac:dyDescent="0.25">
      <c r="F160" t="s">
        <v>194</v>
      </c>
      <c r="G160" t="s">
        <v>270</v>
      </c>
      <c r="H160" s="256"/>
      <c r="I160" s="256"/>
      <c r="J160" s="271">
        <f t="shared" ref="J160:K160" si="162">J55 * (1 - J$114)</f>
        <v>9.0983346411641474E-3</v>
      </c>
      <c r="K160" s="271">
        <f t="shared" si="162"/>
        <v>9.0983346411641474E-3</v>
      </c>
      <c r="L160" s="271">
        <f t="shared" ref="L160:M160" si="163">L55 * (1 - L$114)</f>
        <v>9.7534254215629283E-3</v>
      </c>
      <c r="M160" s="271">
        <f t="shared" si="163"/>
        <v>9.7534254215629283E-3</v>
      </c>
      <c r="N160" s="271">
        <f t="shared" ref="N160:P160" si="164">N55 * (1 - N$114)</f>
        <v>7.6767235184317575E-3</v>
      </c>
      <c r="O160" s="271">
        <f t="shared" si="164"/>
        <v>7.3375417971196181E-3</v>
      </c>
      <c r="P160" s="271">
        <f t="shared" si="164"/>
        <v>2.135491307469838E-3</v>
      </c>
      <c r="Q160" s="271">
        <f t="shared" ref="Q160:S160" si="165">Q55 * (1 - Q$114)</f>
        <v>1.0673667850568867E-2</v>
      </c>
      <c r="R160" s="271">
        <f t="shared" si="165"/>
        <v>-6.2393125018580216E-3</v>
      </c>
      <c r="S160" s="271">
        <f t="shared" si="165"/>
        <v>-6.1508534399224166E-3</v>
      </c>
      <c r="T160" s="271">
        <f t="shared" ref="T160:U160" si="166">T55 * (1 - T$114)</f>
        <v>-6.2393125018580216E-3</v>
      </c>
      <c r="U160" s="271">
        <f t="shared" si="166"/>
        <v>-6.2393125018580216E-3</v>
      </c>
      <c r="V160" s="271">
        <f t="shared" ref="V160:W160" si="167">V55 * (1 - V$114)</f>
        <v>-6.1508534399224166E-3</v>
      </c>
      <c r="W160" s="271">
        <f t="shared" si="167"/>
        <v>-6.1508534399224166E-3</v>
      </c>
      <c r="X160" s="271">
        <f t="shared" ref="X160:Y160" si="168">X55 * (1 - X$114)</f>
        <v>-2.0064284428233975E-3</v>
      </c>
      <c r="Y160" s="271">
        <f t="shared" si="168"/>
        <v>-2.0064284428233975E-3</v>
      </c>
      <c r="Z160" s="256"/>
      <c r="AA160" s="256"/>
    </row>
    <row r="161" spans="4:27" x14ac:dyDescent="0.25">
      <c r="F161" t="s">
        <v>195</v>
      </c>
      <c r="G161" t="s">
        <v>270</v>
      </c>
      <c r="H161" s="256"/>
      <c r="I161" s="256"/>
      <c r="J161" s="271">
        <f t="shared" ref="J161:K161" si="169">J56 * (1 - J$115)</f>
        <v>7.4604460218504615E-2</v>
      </c>
      <c r="K161" s="271">
        <f t="shared" si="169"/>
        <v>7.4604460218504615E-2</v>
      </c>
      <c r="L161" s="271">
        <f t="shared" ref="L161:M161" si="170">L56 * (1 - L$115)</f>
        <v>7.9976068979151022E-2</v>
      </c>
      <c r="M161" s="271">
        <f t="shared" si="170"/>
        <v>7.9976068979151022E-2</v>
      </c>
      <c r="N161" s="271">
        <f t="shared" ref="N161:P161" si="171">N56 * (1 - N$115)</f>
        <v>6.2947543361190406E-2</v>
      </c>
      <c r="O161" s="271">
        <f t="shared" si="171"/>
        <v>6.0166323475081926E-2</v>
      </c>
      <c r="P161" s="271">
        <f t="shared" si="171"/>
        <v>1.4008469248804068E-2</v>
      </c>
      <c r="Q161" s="271">
        <f t="shared" ref="Q161:S161" si="172">Q56 * (1 - Q$115)</f>
        <v>6.6247543656495059E-2</v>
      </c>
      <c r="R161" s="271">
        <f t="shared" si="172"/>
        <v>-5.1161070645795274E-2</v>
      </c>
      <c r="S161" s="271">
        <f t="shared" si="172"/>
        <v>-5.0435724653652619E-2</v>
      </c>
      <c r="T161" s="271">
        <f t="shared" ref="T161:U161" si="173">T56 * (1 - T$115)</f>
        <v>-5.1161070645795274E-2</v>
      </c>
      <c r="U161" s="271">
        <f t="shared" si="173"/>
        <v>-5.1161070645795274E-2</v>
      </c>
      <c r="V161" s="271">
        <f t="shared" ref="V161:W161" si="174">V56 * (1 - V$115)</f>
        <v>-5.0435724653652619E-2</v>
      </c>
      <c r="W161" s="271">
        <f t="shared" si="174"/>
        <v>-5.0435724653652619E-2</v>
      </c>
      <c r="X161" s="271">
        <f t="shared" ref="X161:Y161" si="175">X56 * (1 - X$115)</f>
        <v>-1.6452297793779699E-2</v>
      </c>
      <c r="Y161" s="271">
        <f t="shared" si="175"/>
        <v>-1.6452297793779699E-2</v>
      </c>
      <c r="Z161" s="256"/>
      <c r="AA161" s="256"/>
    </row>
    <row r="162" spans="4:27" x14ac:dyDescent="0.25">
      <c r="F162" t="s">
        <v>196</v>
      </c>
      <c r="G162" t="s">
        <v>270</v>
      </c>
      <c r="H162" s="256"/>
      <c r="I162" s="256"/>
      <c r="J162" s="271">
        <f t="shared" ref="J162:K162" si="176">J57 * (1 - J$116)</f>
        <v>1.1211725354577597E-2</v>
      </c>
      <c r="K162" s="271">
        <f t="shared" si="176"/>
        <v>1.1211725354577597E-2</v>
      </c>
      <c r="L162" s="271">
        <f t="shared" ref="L162:M162" si="177">L57 * (1 - L$116)</f>
        <v>1.2018982748575501E-2</v>
      </c>
      <c r="M162" s="271">
        <f t="shared" si="177"/>
        <v>1.2018982748575501E-2</v>
      </c>
      <c r="N162" s="271">
        <f t="shared" ref="N162:P162" si="178">N57 * (1 - N$116)</f>
        <v>9.4598977841807274E-3</v>
      </c>
      <c r="O162" s="271">
        <f t="shared" si="178"/>
        <v>9.0419298312941314E-3</v>
      </c>
      <c r="P162" s="271">
        <f t="shared" si="178"/>
        <v>0</v>
      </c>
      <c r="Q162" s="271">
        <f t="shared" ref="Q162:S162" si="179">Q57 * (1 - Q$116)</f>
        <v>9.955829218743991E-3</v>
      </c>
      <c r="R162" s="271">
        <f t="shared" si="179"/>
        <v>-7.6886002692976244E-3</v>
      </c>
      <c r="S162" s="271">
        <f t="shared" si="179"/>
        <v>-7.5795936492225142E-3</v>
      </c>
      <c r="T162" s="271">
        <f t="shared" ref="T162:U162" si="180">T57 * (1 - T$116)</f>
        <v>-7.6886002692976244E-3</v>
      </c>
      <c r="U162" s="271">
        <f t="shared" si="180"/>
        <v>-7.6886002692976244E-3</v>
      </c>
      <c r="V162" s="271">
        <f t="shared" ref="V162:W162" si="181">V57 * (1 - V$116)</f>
        <v>-7.5795936492225142E-3</v>
      </c>
      <c r="W162" s="271">
        <f t="shared" si="181"/>
        <v>-7.5795936492225142E-3</v>
      </c>
      <c r="X162" s="271">
        <f t="shared" ref="X162:Y162" si="182">X57 * (1 - X$116)</f>
        <v>0</v>
      </c>
      <c r="Y162" s="271">
        <f t="shared" si="182"/>
        <v>0</v>
      </c>
      <c r="Z162" s="256"/>
      <c r="AA162" s="256"/>
    </row>
    <row r="163" spans="4:27" x14ac:dyDescent="0.25">
      <c r="F163" t="s">
        <v>197</v>
      </c>
      <c r="G163" t="s">
        <v>270</v>
      </c>
      <c r="H163" s="256"/>
      <c r="I163" s="256"/>
      <c r="J163" s="271">
        <f t="shared" ref="J163:K163" si="183">J58 * (1 - J$117)</f>
        <v>0</v>
      </c>
      <c r="K163" s="271">
        <f t="shared" si="183"/>
        <v>0</v>
      </c>
      <c r="L163" s="271">
        <f t="shared" ref="L163:M163" si="184">L58 * (1 - L$117)</f>
        <v>0</v>
      </c>
      <c r="M163" s="271">
        <f t="shared" si="184"/>
        <v>0</v>
      </c>
      <c r="N163" s="271">
        <f t="shared" ref="N163:P163" si="185">N58 * (1 - N$117)</f>
        <v>0</v>
      </c>
      <c r="O163" s="271">
        <f t="shared" si="185"/>
        <v>0</v>
      </c>
      <c r="P163" s="271">
        <f t="shared" si="185"/>
        <v>0</v>
      </c>
      <c r="Q163" s="271">
        <f t="shared" ref="Q163:S163" si="186">Q58 * (1 - Q$117)</f>
        <v>0</v>
      </c>
      <c r="R163" s="271">
        <f t="shared" si="186"/>
        <v>0</v>
      </c>
      <c r="S163" s="271">
        <f t="shared" si="186"/>
        <v>0</v>
      </c>
      <c r="T163" s="271">
        <f t="shared" ref="T163:U163" si="187">T58 * (1 - T$117)</f>
        <v>0</v>
      </c>
      <c r="U163" s="271">
        <f t="shared" si="187"/>
        <v>0</v>
      </c>
      <c r="V163" s="271">
        <f t="shared" ref="V163:W163" si="188">V58 * (1 - V$117)</f>
        <v>0</v>
      </c>
      <c r="W163" s="271">
        <f t="shared" si="188"/>
        <v>0</v>
      </c>
      <c r="X163" s="271">
        <f t="shared" ref="X163:Y163" si="189">X58 * (1 - X$117)</f>
        <v>0</v>
      </c>
      <c r="Y163" s="271">
        <f t="shared" si="189"/>
        <v>0</v>
      </c>
      <c r="Z163" s="256"/>
      <c r="AA163" s="256"/>
    </row>
    <row r="164" spans="4:27" x14ac:dyDescent="0.25">
      <c r="F164" t="s">
        <v>198</v>
      </c>
      <c r="G164" t="s">
        <v>270</v>
      </c>
      <c r="H164" s="256"/>
      <c r="I164" s="256"/>
      <c r="J164" s="271">
        <f t="shared" ref="J164:K164" si="190">J59 * (1 - J$118)</f>
        <v>5.163009302662111E-2</v>
      </c>
      <c r="K164" s="271">
        <f t="shared" si="190"/>
        <v>5.163009302662111E-2</v>
      </c>
      <c r="L164" s="271">
        <f t="shared" ref="L164:M164" si="191">L59 * (1 - L$118)</f>
        <v>5.5347520365449258E-2</v>
      </c>
      <c r="M164" s="271">
        <f t="shared" si="191"/>
        <v>5.5347520365449258E-2</v>
      </c>
      <c r="N164" s="271">
        <f t="shared" ref="N164:P164" si="192">N59 * (1 - N$118)</f>
        <v>3.4850329430887415E-2</v>
      </c>
      <c r="O164" s="271">
        <f t="shared" si="192"/>
        <v>0</v>
      </c>
      <c r="P164" s="271">
        <f t="shared" si="192"/>
        <v>0</v>
      </c>
      <c r="Q164" s="271">
        <f t="shared" ref="Q164:S164" si="193">Q59 * (1 - Q$118)</f>
        <v>4.5846680369407838E-2</v>
      </c>
      <c r="R164" s="271">
        <f t="shared" si="193"/>
        <v>-3.5406071286455988E-2</v>
      </c>
      <c r="S164" s="271">
        <f t="shared" si="193"/>
        <v>-3.4904094850447626E-2</v>
      </c>
      <c r="T164" s="271">
        <f t="shared" ref="T164:U164" si="194">T59 * (1 - T$118)</f>
        <v>-3.5406071286455988E-2</v>
      </c>
      <c r="U164" s="271">
        <f t="shared" si="194"/>
        <v>-3.5406071286455988E-2</v>
      </c>
      <c r="V164" s="271">
        <f t="shared" ref="V164:W164" si="195">V59 * (1 - V$118)</f>
        <v>-3.4904094850447626E-2</v>
      </c>
      <c r="W164" s="271">
        <f t="shared" si="195"/>
        <v>-3.4904094850447626E-2</v>
      </c>
      <c r="X164" s="271">
        <f t="shared" ref="X164:Y164" si="196">X59 * (1 - X$118)</f>
        <v>0</v>
      </c>
      <c r="Y164" s="271">
        <f t="shared" si="196"/>
        <v>0</v>
      </c>
      <c r="Z164" s="256"/>
      <c r="AA164" s="256"/>
    </row>
    <row r="165" spans="4:27" x14ac:dyDescent="0.25">
      <c r="F165" t="s">
        <v>199</v>
      </c>
      <c r="G165" t="s">
        <v>270</v>
      </c>
      <c r="H165" s="256"/>
      <c r="I165" s="256"/>
      <c r="J165" s="271">
        <f t="shared" ref="J165:K165" si="197">J60 * (1 - J$119)</f>
        <v>5.5744878364741655E-3</v>
      </c>
      <c r="K165" s="271">
        <f t="shared" si="197"/>
        <v>5.5744878364741655E-3</v>
      </c>
      <c r="L165" s="271">
        <f t="shared" ref="L165:M165" si="198">L60 * (1 - L$119)</f>
        <v>5.9758575080838825E-3</v>
      </c>
      <c r="M165" s="271">
        <f t="shared" si="198"/>
        <v>5.9758575080838825E-3</v>
      </c>
      <c r="N165" s="271">
        <f t="shared" ref="N165:P165" si="199">N60 * (1 - N$119)</f>
        <v>0</v>
      </c>
      <c r="O165" s="271">
        <f t="shared" si="199"/>
        <v>0</v>
      </c>
      <c r="P165" s="271">
        <f t="shared" si="199"/>
        <v>0</v>
      </c>
      <c r="Q165" s="271">
        <f t="shared" ref="Q165:S165" si="200">Q60 * (1 - Q$119)</f>
        <v>4.9500542625442673E-3</v>
      </c>
      <c r="R165" s="271">
        <f t="shared" si="200"/>
        <v>-3.8227843909155717E-3</v>
      </c>
      <c r="S165" s="271">
        <f t="shared" si="200"/>
        <v>0</v>
      </c>
      <c r="T165" s="271">
        <f t="shared" ref="T165:U165" si="201">T60 * (1 - T$119)</f>
        <v>-3.8227843909155717E-3</v>
      </c>
      <c r="U165" s="271">
        <f t="shared" si="201"/>
        <v>-3.8227843909155717E-3</v>
      </c>
      <c r="V165" s="271">
        <f t="shared" ref="V165:W165" si="202">V60 * (1 - V$119)</f>
        <v>0</v>
      </c>
      <c r="W165" s="271">
        <f t="shared" si="202"/>
        <v>0</v>
      </c>
      <c r="X165" s="271">
        <f t="shared" ref="X165:Y165" si="203">X60 * (1 - X$119)</f>
        <v>0</v>
      </c>
      <c r="Y165" s="271">
        <f t="shared" si="203"/>
        <v>0</v>
      </c>
      <c r="Z165" s="256"/>
      <c r="AA165" s="256"/>
    </row>
    <row r="166" spans="4:27" x14ac:dyDescent="0.25">
      <c r="F166" t="s">
        <v>200</v>
      </c>
      <c r="G166" t="s">
        <v>270</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1.2215768939014266E-2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270</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270</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190</v>
      </c>
      <c r="G171" s="19" t="s">
        <v>270</v>
      </c>
      <c r="H171" s="255"/>
      <c r="I171" s="255"/>
      <c r="J171" s="404">
        <f t="shared" ref="J171:K171" si="211">J66 * (1 - J$112)</f>
        <v>8.4631705700365777E-3</v>
      </c>
      <c r="K171" s="404">
        <f t="shared" si="211"/>
        <v>8.4631705700365777E-3</v>
      </c>
      <c r="L171" s="404">
        <f t="shared" ref="L171:M171" si="212">L66 * (1 - L$112)</f>
        <v>9.0725287912971526E-3</v>
      </c>
      <c r="M171" s="404">
        <f t="shared" si="212"/>
        <v>9.0725287912971526E-3</v>
      </c>
      <c r="N171" s="404">
        <f t="shared" ref="N171:P171" si="213">N66 * (1 - N$112)</f>
        <v>7.1408035775639856E-3</v>
      </c>
      <c r="O171" s="404">
        <f t="shared" si="213"/>
        <v>6.8253004800283299E-3</v>
      </c>
      <c r="P171" s="404">
        <f t="shared" si="213"/>
        <v>6.0194256650598146E-3</v>
      </c>
      <c r="Q171" s="404">
        <f t="shared" ref="Q171:S171" si="214">Q66 * (1 - Q$112)</f>
        <v>1.0171471862856664E-2</v>
      </c>
      <c r="R171" s="404">
        <f t="shared" si="214"/>
        <v>-5.8037396980410135E-3</v>
      </c>
      <c r="S171" s="404">
        <f t="shared" si="214"/>
        <v>-5.7214560539288993E-3</v>
      </c>
      <c r="T171" s="404">
        <f t="shared" ref="T171:U171" si="215">T66 * (1 - T$112)</f>
        <v>-5.8037396980410135E-3</v>
      </c>
      <c r="U171" s="404">
        <f t="shared" si="215"/>
        <v>-5.8037396980410135E-3</v>
      </c>
      <c r="V171" s="404">
        <f t="shared" ref="V171:W171" si="216">V66 * (1 - V$112)</f>
        <v>-5.7214560539288993E-3</v>
      </c>
      <c r="W171" s="404">
        <f t="shared" si="216"/>
        <v>-5.7214560539288993E-3</v>
      </c>
      <c r="X171" s="404">
        <f t="shared" ref="X171:Y171" si="217">X66 * (1 - X$112)</f>
        <v>-5.6556291386392092E-3</v>
      </c>
      <c r="Y171" s="404">
        <f t="shared" si="217"/>
        <v>-5.6556291386392092E-3</v>
      </c>
      <c r="Z171" s="256"/>
      <c r="AA171" s="256"/>
    </row>
    <row r="172" spans="4:27" x14ac:dyDescent="0.25">
      <c r="F172" t="s">
        <v>192</v>
      </c>
      <c r="G172" t="s">
        <v>270</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193</v>
      </c>
      <c r="G173" t="s">
        <v>270</v>
      </c>
      <c r="H173" s="256"/>
      <c r="I173" s="256"/>
      <c r="J173" s="271">
        <f t="shared" ref="J173:K173" si="225">J68 * (1 - J$113)</f>
        <v>5.7541307193915564E-2</v>
      </c>
      <c r="K173" s="271">
        <f t="shared" si="225"/>
        <v>5.7541307193915564E-2</v>
      </c>
      <c r="L173" s="271">
        <f t="shared" ref="L173:M173" si="226">L68 * (1 - L$113)</f>
        <v>6.1684348895666492E-2</v>
      </c>
      <c r="M173" s="271">
        <f t="shared" si="226"/>
        <v>6.1684348895666492E-2</v>
      </c>
      <c r="N173" s="271">
        <f t="shared" ref="N173:P173" si="227">N68 * (1 - N$113)</f>
        <v>4.8550501123392195E-2</v>
      </c>
      <c r="O173" s="271">
        <f t="shared" si="227"/>
        <v>4.6405387716342832E-2</v>
      </c>
      <c r="P173" s="271">
        <f t="shared" si="227"/>
        <v>4.092622480639066E-2</v>
      </c>
      <c r="Q173" s="271">
        <f t="shared" ref="Q173:S173" si="228">Q68 * (1 - Q$113)</f>
        <v>6.75043098433252E-2</v>
      </c>
      <c r="R173" s="271">
        <f t="shared" si="228"/>
        <v>-3.945977055228575E-2</v>
      </c>
      <c r="S173" s="271">
        <f t="shared" si="228"/>
        <v>-3.8900322009483956E-2</v>
      </c>
      <c r="T173" s="271">
        <f t="shared" ref="T173:U173" si="229">T68 * (1 - T$113)</f>
        <v>-3.945977055228575E-2</v>
      </c>
      <c r="U173" s="271">
        <f t="shared" si="229"/>
        <v>-3.945977055228575E-2</v>
      </c>
      <c r="V173" s="271">
        <f t="shared" ref="V173:W173" si="230">V68 * (1 - V$113)</f>
        <v>-3.8900322009483956E-2</v>
      </c>
      <c r="W173" s="271">
        <f t="shared" si="230"/>
        <v>-3.8900322009483956E-2</v>
      </c>
      <c r="X173" s="271">
        <f t="shared" ref="X173:Y173" si="231">X68 * (1 - X$113)</f>
        <v>-3.845276317524253E-2</v>
      </c>
      <c r="Y173" s="271">
        <f t="shared" si="231"/>
        <v>-3.845276317524253E-2</v>
      </c>
      <c r="Z173" s="256"/>
      <c r="AA173" s="256"/>
    </row>
    <row r="174" spans="4:27" x14ac:dyDescent="0.25">
      <c r="F174" t="s">
        <v>194</v>
      </c>
      <c r="G174" t="s">
        <v>270</v>
      </c>
      <c r="H174" s="256"/>
      <c r="I174" s="256"/>
      <c r="J174" s="271">
        <f t="shared" ref="J174:K174" si="232">J69 * (1 - J$114)</f>
        <v>8.2423018986439531E-3</v>
      </c>
      <c r="K174" s="271">
        <f t="shared" si="232"/>
        <v>8.2423018986439531E-3</v>
      </c>
      <c r="L174" s="271">
        <f t="shared" ref="L174:M174" si="233">L69 * (1 - L$114)</f>
        <v>8.8357573161481559E-3</v>
      </c>
      <c r="M174" s="271">
        <f t="shared" si="233"/>
        <v>8.8357573161481559E-3</v>
      </c>
      <c r="N174" s="271">
        <f t="shared" ref="N174:P174" si="234">N69 * (1 - N$114)</f>
        <v>6.9544455471071531E-3</v>
      </c>
      <c r="O174" s="271">
        <f t="shared" si="234"/>
        <v>6.6471763318259403E-3</v>
      </c>
      <c r="P174" s="271">
        <f t="shared" si="234"/>
        <v>5.8623329374364987E-3</v>
      </c>
      <c r="Q174" s="271">
        <f t="shared" ref="Q174:S174" si="235">Q69 * (1 - Q$114)</f>
        <v>9.6694171252182104E-3</v>
      </c>
      <c r="R174" s="271">
        <f t="shared" si="235"/>
        <v>-5.6522758624008192E-3</v>
      </c>
      <c r="S174" s="271">
        <f t="shared" si="235"/>
        <v>-5.572139626166402E-3</v>
      </c>
      <c r="T174" s="271">
        <f t="shared" ref="T174:U174" si="236">T69 * (1 - T$114)</f>
        <v>-5.6522758624008192E-3</v>
      </c>
      <c r="U174" s="271">
        <f t="shared" si="236"/>
        <v>-5.6522758624008192E-3</v>
      </c>
      <c r="V174" s="271">
        <f t="shared" ref="V174:W174" si="237">V69 * (1 - V$114)</f>
        <v>-5.572139626166402E-3</v>
      </c>
      <c r="W174" s="271">
        <f t="shared" si="237"/>
        <v>-5.572139626166402E-3</v>
      </c>
      <c r="X174" s="271">
        <f t="shared" ref="X174:Y174" si="238">X69 * (1 - X$114)</f>
        <v>-5.5080306371788684E-3</v>
      </c>
      <c r="Y174" s="271">
        <f t="shared" si="238"/>
        <v>-5.5080306371788684E-3</v>
      </c>
      <c r="Z174" s="256"/>
      <c r="AA174" s="256"/>
    </row>
    <row r="175" spans="4:27" x14ac:dyDescent="0.25">
      <c r="F175" t="s">
        <v>195</v>
      </c>
      <c r="G175" t="s">
        <v>270</v>
      </c>
      <c r="H175" s="256"/>
      <c r="I175" s="256"/>
      <c r="J175" s="271">
        <f t="shared" ref="J175:K175" si="239">J70 * (1 - J$115)</f>
        <v>6.7585168974133109E-2</v>
      </c>
      <c r="K175" s="271">
        <f t="shared" si="239"/>
        <v>6.7585168974133109E-2</v>
      </c>
      <c r="L175" s="271">
        <f t="shared" ref="L175:M175" si="240">L70 * (1 - L$115)</f>
        <v>7.2451380520841338E-2</v>
      </c>
      <c r="M175" s="271">
        <f t="shared" si="240"/>
        <v>7.2451380520841338E-2</v>
      </c>
      <c r="N175" s="271">
        <f t="shared" ref="N175:P175" si="241">N70 * (1 - N$115)</f>
        <v>5.7025013546273179E-2</v>
      </c>
      <c r="O175" s="271">
        <f t="shared" si="241"/>
        <v>5.450546960203273E-2</v>
      </c>
      <c r="P175" s="271">
        <f t="shared" si="241"/>
        <v>3.8455933017882499E-2</v>
      </c>
      <c r="Q175" s="271">
        <f t="shared" ref="Q175:S175" si="242">Q70 * (1 - Q$115)</f>
        <v>6.0014527536718695E-2</v>
      </c>
      <c r="R175" s="271">
        <f t="shared" si="242"/>
        <v>-4.6347491750044094E-2</v>
      </c>
      <c r="S175" s="271">
        <f t="shared" si="242"/>
        <v>-4.5690391205383728E-2</v>
      </c>
      <c r="T175" s="271">
        <f t="shared" ref="T175:U175" si="243">T70 * (1 - T$115)</f>
        <v>-4.6347491750044094E-2</v>
      </c>
      <c r="U175" s="271">
        <f t="shared" si="243"/>
        <v>-4.6347491750044094E-2</v>
      </c>
      <c r="V175" s="271">
        <f t="shared" ref="V175:W175" si="244">V70 * (1 - V$115)</f>
        <v>-4.5690391205383728E-2</v>
      </c>
      <c r="W175" s="271">
        <f t="shared" si="244"/>
        <v>-4.5690391205383728E-2</v>
      </c>
      <c r="X175" s="271">
        <f t="shared" ref="X175:Y175" si="245">X70 * (1 - X$115)</f>
        <v>-4.5164710769655433E-2</v>
      </c>
      <c r="Y175" s="271">
        <f t="shared" si="245"/>
        <v>-4.5164710769655433E-2</v>
      </c>
      <c r="Z175" s="256"/>
      <c r="AA175" s="256"/>
    </row>
    <row r="176" spans="4:27" x14ac:dyDescent="0.25">
      <c r="F176" t="s">
        <v>196</v>
      </c>
      <c r="G176" t="s">
        <v>270</v>
      </c>
      <c r="H176" s="256"/>
      <c r="I176" s="256"/>
      <c r="J176" s="271">
        <f t="shared" ref="J176:K176" si="246">J71 * (1 - J$116)</f>
        <v>5.3457108142228094E-2</v>
      </c>
      <c r="K176" s="271">
        <f t="shared" si="246"/>
        <v>5.3457108142228094E-2</v>
      </c>
      <c r="L176" s="271">
        <f t="shared" ref="L176:M176" si="247">L71 * (1 - L$116)</f>
        <v>5.7306082715257591E-2</v>
      </c>
      <c r="M176" s="271">
        <f t="shared" si="247"/>
        <v>5.7306082715257591E-2</v>
      </c>
      <c r="N176" s="271">
        <f t="shared" ref="N176:P176" si="248">N71 * (1 - N$116)</f>
        <v>4.5104456528352536E-2</v>
      </c>
      <c r="O176" s="271">
        <f t="shared" si="248"/>
        <v>4.3111600179233885E-2</v>
      </c>
      <c r="P176" s="271">
        <f t="shared" si="248"/>
        <v>0</v>
      </c>
      <c r="Q176" s="271">
        <f t="shared" ref="Q176:S176" si="249">Q71 * (1 - Q$116)</f>
        <v>4.7469039988092258E-2</v>
      </c>
      <c r="R176" s="271">
        <f t="shared" si="249"/>
        <v>-3.6658972910926436E-2</v>
      </c>
      <c r="S176" s="271">
        <f t="shared" si="249"/>
        <v>-3.6139233219372645E-2</v>
      </c>
      <c r="T176" s="271">
        <f t="shared" ref="T176:U176" si="250">T71 * (1 - T$116)</f>
        <v>-3.6658972910926436E-2</v>
      </c>
      <c r="U176" s="271">
        <f t="shared" si="250"/>
        <v>-3.6658972910926436E-2</v>
      </c>
      <c r="V176" s="271">
        <f t="shared" ref="V176:W176" si="251">V71 * (1 - V$116)</f>
        <v>-3.6139233219372645E-2</v>
      </c>
      <c r="W176" s="271">
        <f t="shared" si="251"/>
        <v>-3.6139233219372645E-2</v>
      </c>
      <c r="X176" s="271">
        <f t="shared" ref="X176:Y176" si="252">X71 * (1 - X$116)</f>
        <v>-3.572344146612963E-2</v>
      </c>
      <c r="Y176" s="271">
        <f t="shared" si="252"/>
        <v>-3.572344146612963E-2</v>
      </c>
      <c r="Z176" s="256"/>
      <c r="AA176" s="256"/>
    </row>
    <row r="177" spans="3:27" x14ac:dyDescent="0.25">
      <c r="F177" t="s">
        <v>197</v>
      </c>
      <c r="G177" t="s">
        <v>270</v>
      </c>
      <c r="H177" s="256"/>
      <c r="I177" s="256"/>
      <c r="J177" s="271">
        <f t="shared" ref="J177:K177" si="253">J72 * (1 - J$117)</f>
        <v>0</v>
      </c>
      <c r="K177" s="271">
        <f t="shared" si="253"/>
        <v>0</v>
      </c>
      <c r="L177" s="271">
        <f t="shared" ref="L177:M177" si="254">L72 * (1 - L$117)</f>
        <v>0</v>
      </c>
      <c r="M177" s="271">
        <f t="shared" si="254"/>
        <v>0</v>
      </c>
      <c r="N177" s="271">
        <f t="shared" ref="N177:P177" si="255">N72 * (1 - N$117)</f>
        <v>0</v>
      </c>
      <c r="O177" s="271">
        <f t="shared" si="255"/>
        <v>0</v>
      </c>
      <c r="P177" s="271">
        <f t="shared" si="255"/>
        <v>0</v>
      </c>
      <c r="Q177" s="271">
        <f t="shared" ref="Q177:S177" si="256">Q72 * (1 - Q$117)</f>
        <v>0</v>
      </c>
      <c r="R177" s="271">
        <f t="shared" si="256"/>
        <v>0</v>
      </c>
      <c r="S177" s="271">
        <f t="shared" si="256"/>
        <v>0</v>
      </c>
      <c r="T177" s="271">
        <f t="shared" ref="T177:U177" si="257">T72 * (1 - T$117)</f>
        <v>0</v>
      </c>
      <c r="U177" s="271">
        <f t="shared" si="257"/>
        <v>0</v>
      </c>
      <c r="V177" s="271">
        <f t="shared" ref="V177:W177" si="258">V72 * (1 - V$117)</f>
        <v>0</v>
      </c>
      <c r="W177" s="271">
        <f t="shared" si="258"/>
        <v>0</v>
      </c>
      <c r="X177" s="271">
        <f t="shared" ref="X177:Y177" si="259">X72 * (1 - X$117)</f>
        <v>0</v>
      </c>
      <c r="Y177" s="271">
        <f t="shared" si="259"/>
        <v>0</v>
      </c>
      <c r="Z177" s="256"/>
      <c r="AA177" s="256"/>
    </row>
    <row r="178" spans="3:27" x14ac:dyDescent="0.25">
      <c r="F178" t="s">
        <v>198</v>
      </c>
      <c r="G178" t="s">
        <v>270</v>
      </c>
      <c r="H178" s="256"/>
      <c r="I178" s="256"/>
      <c r="J178" s="271">
        <f t="shared" ref="J178:K178" si="260">J73 * (1 - J$118)</f>
        <v>0.24617044915308339</v>
      </c>
      <c r="K178" s="271">
        <f t="shared" si="260"/>
        <v>0.24617044915308339</v>
      </c>
      <c r="L178" s="271">
        <f t="shared" ref="L178:M178" si="261">L73 * (1 - L$118)</f>
        <v>0.26389501062581655</v>
      </c>
      <c r="M178" s="271">
        <f t="shared" si="261"/>
        <v>0.26389501062581655</v>
      </c>
      <c r="N178" s="271">
        <f t="shared" ref="N178:P178" si="262">N73 * (1 - N$118)</f>
        <v>0.166165132507334</v>
      </c>
      <c r="O178" s="271">
        <f t="shared" si="262"/>
        <v>0</v>
      </c>
      <c r="P178" s="271">
        <f t="shared" si="262"/>
        <v>0</v>
      </c>
      <c r="Q178" s="271">
        <f t="shared" ref="Q178:S178" si="263">Q73 * (1 - Q$118)</f>
        <v>0.2185953430859737</v>
      </c>
      <c r="R178" s="271">
        <f t="shared" si="263"/>
        <v>-0.1688148899293852</v>
      </c>
      <c r="S178" s="271">
        <f t="shared" si="263"/>
        <v>-0.16642148411753191</v>
      </c>
      <c r="T178" s="271">
        <f t="shared" ref="T178:U178" si="264">T73 * (1 - T$118)</f>
        <v>-0.1688148899293852</v>
      </c>
      <c r="U178" s="271">
        <f t="shared" si="264"/>
        <v>-0.1688148899293852</v>
      </c>
      <c r="V178" s="271">
        <f t="shared" ref="V178:W178" si="265">V73 * (1 - V$118)</f>
        <v>-0.16642148411753191</v>
      </c>
      <c r="W178" s="271">
        <f t="shared" si="265"/>
        <v>-0.16642148411753191</v>
      </c>
      <c r="X178" s="271">
        <f t="shared" ref="X178:Y178" si="266">X73 * (1 - X$118)</f>
        <v>0</v>
      </c>
      <c r="Y178" s="271">
        <f t="shared" si="266"/>
        <v>0</v>
      </c>
      <c r="Z178" s="256"/>
      <c r="AA178" s="256"/>
    </row>
    <row r="179" spans="3:27" x14ac:dyDescent="0.25">
      <c r="F179" t="s">
        <v>199</v>
      </c>
      <c r="G179" t="s">
        <v>270</v>
      </c>
      <c r="H179" s="256"/>
      <c r="I179" s="256"/>
      <c r="J179" s="271">
        <f t="shared" ref="J179:K179" si="267">J74 * (1 - J$119)</f>
        <v>0.10100004779041546</v>
      </c>
      <c r="K179" s="271">
        <f t="shared" si="267"/>
        <v>0.10100004779041546</v>
      </c>
      <c r="L179" s="271">
        <f t="shared" ref="L179:M179" si="268">L74 * (1 - L$119)</f>
        <v>0.10827216985855602</v>
      </c>
      <c r="M179" s="271">
        <f t="shared" si="268"/>
        <v>0.10827216985855602</v>
      </c>
      <c r="N179" s="271">
        <f t="shared" ref="N179:P179" si="269">N74 * (1 - N$119)</f>
        <v>0</v>
      </c>
      <c r="O179" s="271">
        <f t="shared" si="269"/>
        <v>0</v>
      </c>
      <c r="P179" s="271">
        <f t="shared" si="269"/>
        <v>0</v>
      </c>
      <c r="Q179" s="271">
        <f t="shared" ref="Q179:S179" si="270">Q74 * (1 - Q$119)</f>
        <v>8.9686394830908844E-2</v>
      </c>
      <c r="R179" s="271">
        <f t="shared" si="270"/>
        <v>-6.9262220584399764E-2</v>
      </c>
      <c r="S179" s="271">
        <f t="shared" si="270"/>
        <v>0</v>
      </c>
      <c r="T179" s="271">
        <f t="shared" ref="T179:U179" si="271">T74 * (1 - T$119)</f>
        <v>-6.9262220584399764E-2</v>
      </c>
      <c r="U179" s="271">
        <f t="shared" si="271"/>
        <v>-6.9262220584399764E-2</v>
      </c>
      <c r="V179" s="271">
        <f t="shared" ref="V179:W179" si="272">V74 * (1 - V$119)</f>
        <v>0</v>
      </c>
      <c r="W179" s="271">
        <f t="shared" si="272"/>
        <v>0</v>
      </c>
      <c r="X179" s="271">
        <f t="shared" ref="X179:Y179" si="273">X74 * (1 - X$119)</f>
        <v>0</v>
      </c>
      <c r="Y179" s="271">
        <f t="shared" si="273"/>
        <v>0</v>
      </c>
      <c r="Z179" s="256"/>
      <c r="AA179" s="256"/>
    </row>
    <row r="180" spans="3:27" x14ac:dyDescent="0.25">
      <c r="F180" t="s">
        <v>200</v>
      </c>
      <c r="G180" t="s">
        <v>270</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0.22132853866221397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270</v>
      </c>
      <c r="H181" s="255"/>
      <c r="I181" s="255" t="s">
        <v>155</v>
      </c>
      <c r="J181" s="269"/>
      <c r="K181" s="269"/>
      <c r="L181" s="269"/>
      <c r="M181" s="269"/>
      <c r="N181" s="269"/>
      <c r="O181" s="269"/>
      <c r="P181" s="269"/>
      <c r="Q181" s="270">
        <f>Q76</f>
        <v>1.1691343166507271</v>
      </c>
      <c r="R181" s="269"/>
      <c r="S181" s="269"/>
      <c r="T181" s="269"/>
      <c r="U181" s="269"/>
      <c r="V181" s="269"/>
      <c r="W181" s="269"/>
      <c r="X181" s="269"/>
      <c r="Y181" s="269"/>
      <c r="Z181" s="256"/>
      <c r="AA181" s="256" t="s">
        <v>653</v>
      </c>
    </row>
    <row r="182" spans="3:27" x14ac:dyDescent="0.25">
      <c r="F182" s="28" t="s">
        <v>376</v>
      </c>
      <c r="G182" s="28" t="s">
        <v>270</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155</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190</v>
      </c>
      <c r="G187" s="19" t="s">
        <v>270</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25">
      <c r="F188" t="s">
        <v>192</v>
      </c>
      <c r="G188" t="s">
        <v>270</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193</v>
      </c>
      <c r="G189" t="s">
        <v>270</v>
      </c>
      <c r="H189" s="256"/>
      <c r="I189" s="256"/>
      <c r="J189" s="271">
        <f t="shared" ref="J189:K189" si="295">J84 * (1 - J$113)</f>
        <v>1.237112786582483E-3</v>
      </c>
      <c r="K189" s="271">
        <f t="shared" si="295"/>
        <v>1.237112786582483E-3</v>
      </c>
      <c r="L189" s="271">
        <f t="shared" ref="L189:M189" si="296">L84 * (1 - L$113)</f>
        <v>1.3261863602381484E-3</v>
      </c>
      <c r="M189" s="271">
        <f t="shared" si="296"/>
        <v>1.3261863602381484E-3</v>
      </c>
      <c r="N189" s="271">
        <f t="shared" ref="N189:P189" si="297">N84 * (1 - N$113)</f>
        <v>1.0438144120070792E-3</v>
      </c>
      <c r="O189" s="271">
        <f t="shared" si="297"/>
        <v>9.9769541760211895E-4</v>
      </c>
      <c r="P189" s="271">
        <f t="shared" si="297"/>
        <v>8.7989582586140401E-4</v>
      </c>
      <c r="Q189" s="271">
        <f t="shared" ref="Q189:S189" si="298">Q84 * (1 - Q$113)</f>
        <v>9.1791378202282802E-4</v>
      </c>
      <c r="R189" s="271">
        <f t="shared" si="298"/>
        <v>-8.483677046357658E-4</v>
      </c>
      <c r="S189" s="271">
        <f t="shared" si="298"/>
        <v>-8.3633980712202608E-4</v>
      </c>
      <c r="T189" s="271">
        <f t="shared" ref="T189:U189" si="299">T84 * (1 - T$113)</f>
        <v>-8.483677046357658E-4</v>
      </c>
      <c r="U189" s="271">
        <f t="shared" si="299"/>
        <v>-8.483677046357658E-4</v>
      </c>
      <c r="V189" s="271">
        <f t="shared" ref="V189:W189" si="300">V84 * (1 - V$113)</f>
        <v>-8.3633980712202608E-4</v>
      </c>
      <c r="W189" s="271">
        <f t="shared" si="300"/>
        <v>-8.3633980712202608E-4</v>
      </c>
      <c r="X189" s="271">
        <f t="shared" ref="X189:Y189" si="301">X84 * (1 - X$113)</f>
        <v>-8.2671748911103426E-4</v>
      </c>
      <c r="Y189" s="271">
        <f t="shared" si="301"/>
        <v>-8.2671748911103426E-4</v>
      </c>
      <c r="Z189" s="256"/>
      <c r="AA189" s="256"/>
    </row>
    <row r="190" spans="3:27" x14ac:dyDescent="0.25">
      <c r="F190" t="s">
        <v>194</v>
      </c>
      <c r="G190" t="s">
        <v>270</v>
      </c>
      <c r="H190" s="256"/>
      <c r="I190" s="256"/>
      <c r="J190" s="271">
        <f t="shared" ref="J190:K190" si="302">J85 * (1 - J$114)</f>
        <v>1.7720586422068118E-4</v>
      </c>
      <c r="K190" s="271">
        <f t="shared" si="302"/>
        <v>1.7720586422068118E-4</v>
      </c>
      <c r="L190" s="271">
        <f t="shared" ref="L190:M190" si="303">L85 * (1 - L$114)</f>
        <v>1.8996489457755018E-4</v>
      </c>
      <c r="M190" s="271">
        <f t="shared" si="303"/>
        <v>1.8996489457755018E-4</v>
      </c>
      <c r="N190" s="271">
        <f t="shared" ref="N190:P190" si="304">N85 * (1 - N$114)</f>
        <v>1.4951751931745471E-4</v>
      </c>
      <c r="O190" s="271">
        <f t="shared" si="304"/>
        <v>1.4291136638689103E-4</v>
      </c>
      <c r="P190" s="271">
        <f t="shared" si="304"/>
        <v>4.1592400983343627E-5</v>
      </c>
      <c r="Q190" s="271">
        <f t="shared" ref="Q190:S190" si="305">Q85 * (1 - Q$114)</f>
        <v>1.3148332697520305E-4</v>
      </c>
      <c r="R190" s="271">
        <f t="shared" si="305"/>
        <v>-1.2152144404892787E-4</v>
      </c>
      <c r="S190" s="271">
        <f t="shared" si="305"/>
        <v>-1.1979855022970869E-4</v>
      </c>
      <c r="T190" s="271">
        <f t="shared" ref="T190:U190" si="306">T85 * (1 - T$114)</f>
        <v>-1.2152144404892787E-4</v>
      </c>
      <c r="U190" s="271">
        <f t="shared" si="306"/>
        <v>-1.2152144404892787E-4</v>
      </c>
      <c r="V190" s="271">
        <f t="shared" ref="V190:W190" si="307">V85 * (1 - V$114)</f>
        <v>-1.1979855022970869E-4</v>
      </c>
      <c r="W190" s="271">
        <f t="shared" si="307"/>
        <v>-1.1979855022970869E-4</v>
      </c>
      <c r="X190" s="271">
        <f t="shared" ref="X190:Y190" si="308">X85 * (1 - X$114)</f>
        <v>-3.907867760752999E-5</v>
      </c>
      <c r="Y190" s="271">
        <f t="shared" si="308"/>
        <v>-3.907867760752999E-5</v>
      </c>
      <c r="Z190" s="256"/>
      <c r="AA190" s="256"/>
    </row>
    <row r="191" spans="3:27" x14ac:dyDescent="0.25">
      <c r="F191" t="s">
        <v>195</v>
      </c>
      <c r="G191" t="s">
        <v>270</v>
      </c>
      <c r="H191" s="256"/>
      <c r="I191" s="256"/>
      <c r="J191" s="271">
        <f t="shared" ref="J191:K191" si="309">J86 * (1 - J$115)</f>
        <v>6.2147601320881761E-3</v>
      </c>
      <c r="K191" s="271">
        <f t="shared" si="309"/>
        <v>6.2147601320881761E-3</v>
      </c>
      <c r="L191" s="271">
        <f t="shared" ref="L191:M191" si="310">L86 * (1 - L$115)</f>
        <v>6.6622301609988678E-3</v>
      </c>
      <c r="M191" s="271">
        <f t="shared" si="310"/>
        <v>6.6622301609988678E-3</v>
      </c>
      <c r="N191" s="271">
        <f t="shared" ref="N191:P191" si="311">N86 * (1 - N$115)</f>
        <v>5.2437063648506236E-3</v>
      </c>
      <c r="O191" s="271">
        <f t="shared" si="311"/>
        <v>5.0120229719792875E-3</v>
      </c>
      <c r="P191" s="271">
        <f t="shared" si="311"/>
        <v>1.1669446564463828E-3</v>
      </c>
      <c r="Q191" s="271">
        <f t="shared" ref="Q191:S191" si="312">Q86 * (1 - Q$115)</f>
        <v>4.6112319257233698E-3</v>
      </c>
      <c r="R191" s="271">
        <f t="shared" si="312"/>
        <v>-4.2618602323935993E-3</v>
      </c>
      <c r="S191" s="271">
        <f t="shared" si="312"/>
        <v>-4.2014368831630663E-3</v>
      </c>
      <c r="T191" s="271">
        <f t="shared" ref="T191:U191" si="313">T86 * (1 - T$115)</f>
        <v>-4.2618602323935993E-3</v>
      </c>
      <c r="U191" s="271">
        <f t="shared" si="313"/>
        <v>-4.2618602323935993E-3</v>
      </c>
      <c r="V191" s="271">
        <f t="shared" ref="V191:W191" si="314">V86 * (1 - V$115)</f>
        <v>-4.2014368831630663E-3</v>
      </c>
      <c r="W191" s="271">
        <f t="shared" si="314"/>
        <v>-4.2014368831630663E-3</v>
      </c>
      <c r="X191" s="271">
        <f t="shared" ref="X191:Y191" si="315">X86 * (1 - X$115)</f>
        <v>-1.3705224072469509E-3</v>
      </c>
      <c r="Y191" s="271">
        <f t="shared" si="315"/>
        <v>-1.3705224072469509E-3</v>
      </c>
      <c r="Z191" s="256"/>
      <c r="AA191" s="256"/>
    </row>
    <row r="192" spans="3:27" x14ac:dyDescent="0.25">
      <c r="F192" t="s">
        <v>196</v>
      </c>
      <c r="G192" t="s">
        <v>270</v>
      </c>
      <c r="H192" s="256"/>
      <c r="I192" s="256"/>
      <c r="J192" s="271">
        <f t="shared" ref="J192:K192" si="316">J87 * (1 - J$116)</f>
        <v>9.3396807029331324E-4</v>
      </c>
      <c r="K192" s="271">
        <f t="shared" si="316"/>
        <v>9.3396807029331324E-4</v>
      </c>
      <c r="L192" s="271">
        <f t="shared" ref="L192:M192" si="317">L87 * (1 - L$116)</f>
        <v>1.0012148683246622E-3</v>
      </c>
      <c r="M192" s="271">
        <f t="shared" si="317"/>
        <v>1.0012148683246622E-3</v>
      </c>
      <c r="N192" s="271">
        <f t="shared" ref="N192:P192" si="318">N87 * (1 - N$116)</f>
        <v>7.880359355267255E-4</v>
      </c>
      <c r="O192" s="271">
        <f t="shared" si="318"/>
        <v>7.5321803640270187E-4</v>
      </c>
      <c r="P192" s="271">
        <f t="shared" si="318"/>
        <v>0</v>
      </c>
      <c r="Q192" s="271">
        <f t="shared" ref="Q192:S192" si="319">Q87 * (1 - Q$116)</f>
        <v>6.9298626041994942E-4</v>
      </c>
      <c r="R192" s="271">
        <f t="shared" si="319"/>
        <v>-6.404818999459958E-4</v>
      </c>
      <c r="S192" s="271">
        <f t="shared" si="319"/>
        <v>-6.31401343708576E-4</v>
      </c>
      <c r="T192" s="271">
        <f t="shared" ref="T192:U192" si="320">T87 * (1 - T$116)</f>
        <v>-6.404818999459958E-4</v>
      </c>
      <c r="U192" s="271">
        <f t="shared" si="320"/>
        <v>-6.404818999459958E-4</v>
      </c>
      <c r="V192" s="271">
        <f t="shared" ref="V192:W192" si="321">V87 * (1 - V$116)</f>
        <v>-6.31401343708576E-4</v>
      </c>
      <c r="W192" s="271">
        <f t="shared" si="321"/>
        <v>-6.31401343708576E-4</v>
      </c>
      <c r="X192" s="271">
        <f t="shared" ref="X192:Y192" si="322">X87 * (1 - X$116)</f>
        <v>0</v>
      </c>
      <c r="Y192" s="271">
        <f t="shared" si="322"/>
        <v>0</v>
      </c>
      <c r="Z192" s="256"/>
      <c r="AA192" s="256"/>
    </row>
    <row r="193" spans="4:27" x14ac:dyDescent="0.25">
      <c r="F193" t="s">
        <v>197</v>
      </c>
      <c r="G193" t="s">
        <v>270</v>
      </c>
      <c r="H193" s="256"/>
      <c r="I193" s="256"/>
      <c r="J193" s="271">
        <f t="shared" ref="J193:K193" si="323">J88 * (1 - J$117)</f>
        <v>0</v>
      </c>
      <c r="K193" s="271">
        <f t="shared" si="323"/>
        <v>0</v>
      </c>
      <c r="L193" s="271">
        <f t="shared" ref="L193:M193" si="324">L88 * (1 - L$117)</f>
        <v>0</v>
      </c>
      <c r="M193" s="271">
        <f t="shared" si="324"/>
        <v>0</v>
      </c>
      <c r="N193" s="271">
        <f t="shared" ref="N193:P193" si="325">N88 * (1 - N$117)</f>
        <v>0</v>
      </c>
      <c r="O193" s="271">
        <f t="shared" si="325"/>
        <v>0</v>
      </c>
      <c r="P193" s="271">
        <f t="shared" si="325"/>
        <v>0</v>
      </c>
      <c r="Q193" s="271">
        <f t="shared" ref="Q193:S193" si="326">Q88 * (1 - Q$117)</f>
        <v>0</v>
      </c>
      <c r="R193" s="271">
        <f t="shared" si="326"/>
        <v>0</v>
      </c>
      <c r="S193" s="271">
        <f t="shared" si="326"/>
        <v>0</v>
      </c>
      <c r="T193" s="271">
        <f t="shared" ref="T193:U193" si="327">T88 * (1 - T$117)</f>
        <v>0</v>
      </c>
      <c r="U193" s="271">
        <f t="shared" si="327"/>
        <v>0</v>
      </c>
      <c r="V193" s="271">
        <f t="shared" ref="V193:W193" si="328">V88 * (1 - V$117)</f>
        <v>0</v>
      </c>
      <c r="W193" s="271">
        <f t="shared" si="328"/>
        <v>0</v>
      </c>
      <c r="X193" s="271">
        <f t="shared" ref="X193:Y193" si="329">X88 * (1 - X$117)</f>
        <v>0</v>
      </c>
      <c r="Y193" s="271">
        <f t="shared" si="329"/>
        <v>0</v>
      </c>
      <c r="Z193" s="256"/>
      <c r="AA193" s="256"/>
    </row>
    <row r="194" spans="4:27" x14ac:dyDescent="0.25">
      <c r="F194" t="s">
        <v>198</v>
      </c>
      <c r="G194" t="s">
        <v>270</v>
      </c>
      <c r="H194" s="256"/>
      <c r="I194" s="256"/>
      <c r="J194" s="271">
        <f t="shared" ref="J194:K194" si="330">J89 * (1 - J$118)</f>
        <v>4.3009311081143847E-3</v>
      </c>
      <c r="K194" s="271">
        <f t="shared" si="330"/>
        <v>4.3009311081143847E-3</v>
      </c>
      <c r="L194" s="271">
        <f t="shared" ref="L194:M194" si="331">L89 * (1 - L$118)</f>
        <v>4.610603199456097E-3</v>
      </c>
      <c r="M194" s="271">
        <f t="shared" si="331"/>
        <v>4.610603199456097E-3</v>
      </c>
      <c r="N194" s="271">
        <f t="shared" ref="N194:P194" si="332">N89 * (1 - N$118)</f>
        <v>2.9031298839623135E-3</v>
      </c>
      <c r="O194" s="271">
        <f t="shared" si="332"/>
        <v>0</v>
      </c>
      <c r="P194" s="271">
        <f t="shared" si="332"/>
        <v>0</v>
      </c>
      <c r="Q194" s="271">
        <f t="shared" ref="Q194:S194" si="333">Q89 * (1 - Q$118)</f>
        <v>3.1912077722314343E-3</v>
      </c>
      <c r="R194" s="271">
        <f t="shared" si="333"/>
        <v>-2.9494247343989314E-3</v>
      </c>
      <c r="S194" s="271">
        <f t="shared" si="333"/>
        <v>-2.9076086937411009E-3</v>
      </c>
      <c r="T194" s="271">
        <f t="shared" ref="T194:U194" si="334">T89 * (1 - T$118)</f>
        <v>-2.9494247343989314E-3</v>
      </c>
      <c r="U194" s="271">
        <f t="shared" si="334"/>
        <v>-2.9494247343989314E-3</v>
      </c>
      <c r="V194" s="271">
        <f t="shared" ref="V194:W194" si="335">V89 * (1 - V$118)</f>
        <v>-2.9076086937411009E-3</v>
      </c>
      <c r="W194" s="271">
        <f t="shared" si="335"/>
        <v>-2.9076086937411009E-3</v>
      </c>
      <c r="X194" s="271">
        <f t="shared" ref="X194:Y194" si="336">X89 * (1 - X$118)</f>
        <v>0</v>
      </c>
      <c r="Y194" s="271">
        <f t="shared" si="336"/>
        <v>0</v>
      </c>
      <c r="Z194" s="256"/>
      <c r="AA194" s="256"/>
    </row>
    <row r="195" spans="4:27" x14ac:dyDescent="0.25">
      <c r="F195" t="s">
        <v>199</v>
      </c>
      <c r="G195" t="s">
        <v>270</v>
      </c>
      <c r="H195" s="256"/>
      <c r="I195" s="256"/>
      <c r="J195" s="271">
        <f t="shared" ref="J195:K195" si="337">J90 * (1 - J$119)</f>
        <v>4.6437042318197912E-4</v>
      </c>
      <c r="K195" s="271">
        <f t="shared" si="337"/>
        <v>4.6437042318197912E-4</v>
      </c>
      <c r="L195" s="271">
        <f t="shared" ref="L195:M195" si="338">L90 * (1 - L$119)</f>
        <v>4.9780563906644032E-4</v>
      </c>
      <c r="M195" s="271">
        <f t="shared" si="338"/>
        <v>4.9780563906644032E-4</v>
      </c>
      <c r="N195" s="271">
        <f t="shared" ref="N195:P195" si="339">N90 * (1 - N$119)</f>
        <v>0</v>
      </c>
      <c r="O195" s="271">
        <f t="shared" si="339"/>
        <v>0</v>
      </c>
      <c r="P195" s="271">
        <f t="shared" si="339"/>
        <v>0</v>
      </c>
      <c r="Q195" s="271">
        <f t="shared" ref="Q195:S195" si="340">Q90 * (1 - Q$119)</f>
        <v>3.4455388063689028E-4</v>
      </c>
      <c r="R195" s="271">
        <f t="shared" si="340"/>
        <v>-3.1844862836147579E-4</v>
      </c>
      <c r="S195" s="271">
        <f t="shared" si="340"/>
        <v>0</v>
      </c>
      <c r="T195" s="271">
        <f t="shared" ref="T195:U195" si="341">T90 * (1 - T$119)</f>
        <v>-3.1844862836147579E-4</v>
      </c>
      <c r="U195" s="271">
        <f t="shared" si="341"/>
        <v>-3.1844862836147579E-4</v>
      </c>
      <c r="V195" s="271">
        <f t="shared" ref="V195:W195" si="342">V90 * (1 - V$119)</f>
        <v>0</v>
      </c>
      <c r="W195" s="271">
        <f t="shared" si="342"/>
        <v>0</v>
      </c>
      <c r="X195" s="271">
        <f t="shared" ref="X195:Y195" si="343">X90 * (1 - X$119)</f>
        <v>0</v>
      </c>
      <c r="Y195" s="271">
        <f t="shared" si="343"/>
        <v>0</v>
      </c>
      <c r="Z195" s="256"/>
      <c r="AA195" s="256"/>
    </row>
    <row r="196" spans="4:27" x14ac:dyDescent="0.25">
      <c r="F196" t="s">
        <v>200</v>
      </c>
      <c r="G196" t="s">
        <v>270</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8.5029180886950185E-4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270</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270</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190</v>
      </c>
      <c r="G201" s="19" t="s">
        <v>270</v>
      </c>
      <c r="H201" s="255"/>
      <c r="I201" s="255"/>
      <c r="J201" s="404">
        <f t="shared" ref="J201:K201" si="351">J96 * (1 - J$112)</f>
        <v>0</v>
      </c>
      <c r="K201" s="404">
        <f t="shared" si="351"/>
        <v>0</v>
      </c>
      <c r="L201" s="404">
        <f t="shared" ref="L201:M201" si="352">L96 * (1 - L$112)</f>
        <v>0</v>
      </c>
      <c r="M201" s="404">
        <f t="shared" si="352"/>
        <v>0</v>
      </c>
      <c r="N201" s="404">
        <f t="shared" ref="N201:P201" si="353">N96 * (1 - N$112)</f>
        <v>0</v>
      </c>
      <c r="O201" s="404">
        <f t="shared" si="353"/>
        <v>0</v>
      </c>
      <c r="P201" s="404">
        <f t="shared" si="353"/>
        <v>0</v>
      </c>
      <c r="Q201" s="404">
        <f t="shared" ref="Q201:S201" si="354">Q96 * (1 - Q$112)</f>
        <v>0</v>
      </c>
      <c r="R201" s="404">
        <f t="shared" si="354"/>
        <v>0</v>
      </c>
      <c r="S201" s="404">
        <f t="shared" si="354"/>
        <v>0</v>
      </c>
      <c r="T201" s="404">
        <f t="shared" ref="T201:U201" si="355">T96 * (1 - T$112)</f>
        <v>0</v>
      </c>
      <c r="U201" s="404">
        <f t="shared" si="355"/>
        <v>0</v>
      </c>
      <c r="V201" s="404">
        <f t="shared" ref="V201:W201" si="356">V96 * (1 - V$112)</f>
        <v>0</v>
      </c>
      <c r="W201" s="404">
        <f t="shared" si="356"/>
        <v>0</v>
      </c>
      <c r="X201" s="404">
        <f t="shared" ref="X201:Y201" si="357">X96 * (1 - X$112)</f>
        <v>0</v>
      </c>
      <c r="Y201" s="404">
        <f t="shared" si="357"/>
        <v>0</v>
      </c>
      <c r="Z201" s="256"/>
      <c r="AA201" s="256"/>
    </row>
    <row r="202" spans="4:27" x14ac:dyDescent="0.25">
      <c r="F202" t="s">
        <v>192</v>
      </c>
      <c r="G202" t="s">
        <v>270</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193</v>
      </c>
      <c r="G203" t="s">
        <v>270</v>
      </c>
      <c r="H203" s="256"/>
      <c r="I203" s="256"/>
      <c r="J203" s="271">
        <f t="shared" ref="J203:K203" si="365">J98 * (1 - J$113)</f>
        <v>1.1207168643316496E-3</v>
      </c>
      <c r="K203" s="271">
        <f t="shared" si="365"/>
        <v>1.1207168643316496E-3</v>
      </c>
      <c r="L203" s="271">
        <f t="shared" ref="L203:M203" si="366">L98 * (1 - L$113)</f>
        <v>1.2014097948751623E-3</v>
      </c>
      <c r="M203" s="271">
        <f t="shared" si="366"/>
        <v>1.2014097948751623E-3</v>
      </c>
      <c r="N203" s="271">
        <f t="shared" ref="N203:P203" si="367">N98 * (1 - N$113)</f>
        <v>9.4560530572186609E-4</v>
      </c>
      <c r="O203" s="271">
        <f t="shared" si="367"/>
        <v>9.0382549764273423E-4</v>
      </c>
      <c r="P203" s="271">
        <f t="shared" si="367"/>
        <v>7.9710928671429765E-4</v>
      </c>
      <c r="Q203" s="271">
        <f t="shared" ref="Q203:S203" si="368">Q98 * (1 - Q$113)</f>
        <v>8.3155025691494648E-4</v>
      </c>
      <c r="R203" s="271">
        <f t="shared" si="368"/>
        <v>-7.6854754396820898E-4</v>
      </c>
      <c r="S203" s="271">
        <f t="shared" si="368"/>
        <v>-7.5765131224843276E-4</v>
      </c>
      <c r="T203" s="271">
        <f t="shared" ref="T203:U203" si="369">T98 * (1 - T$113)</f>
        <v>-7.6854754396820898E-4</v>
      </c>
      <c r="U203" s="271">
        <f t="shared" si="369"/>
        <v>-7.6854754396820898E-4</v>
      </c>
      <c r="V203" s="271">
        <f t="shared" ref="V203:W203" si="370">V98 * (1 - V$113)</f>
        <v>-7.5765131224843276E-4</v>
      </c>
      <c r="W203" s="271">
        <f t="shared" si="370"/>
        <v>-7.5765131224843276E-4</v>
      </c>
      <c r="X203" s="271">
        <f t="shared" ref="X203:Y203" si="371">X98 * (1 - X$113)</f>
        <v>-7.4893432687261191E-4</v>
      </c>
      <c r="Y203" s="271">
        <f t="shared" si="371"/>
        <v>-7.4893432687261191E-4</v>
      </c>
      <c r="Z203" s="256"/>
      <c r="AA203" s="256"/>
    </row>
    <row r="204" spans="4:27" x14ac:dyDescent="0.25">
      <c r="F204" t="s">
        <v>194</v>
      </c>
      <c r="G204" t="s">
        <v>270</v>
      </c>
      <c r="H204" s="256"/>
      <c r="I204" s="256"/>
      <c r="J204" s="271">
        <f t="shared" ref="J204:K204" si="372">J99 * (1 - J$114)</f>
        <v>1.6053314026379654E-4</v>
      </c>
      <c r="K204" s="271">
        <f t="shared" si="372"/>
        <v>1.6053314026379654E-4</v>
      </c>
      <c r="L204" s="271">
        <f t="shared" ref="L204:M204" si="373">L99 * (1 - L$114)</f>
        <v>1.7209171491321408E-4</v>
      </c>
      <c r="M204" s="271">
        <f t="shared" si="373"/>
        <v>1.7209171491321408E-4</v>
      </c>
      <c r="N204" s="271">
        <f t="shared" ref="N204:P204" si="374">N99 * (1 - N$114)</f>
        <v>1.3544990176280296E-4</v>
      </c>
      <c r="O204" s="271">
        <f t="shared" si="374"/>
        <v>1.2946530029563262E-4</v>
      </c>
      <c r="P204" s="271">
        <f t="shared" si="374"/>
        <v>1.1417911249688636E-4</v>
      </c>
      <c r="Q204" s="271">
        <f t="shared" ref="Q204:S204" si="375">Q99 * (1 - Q$114)</f>
        <v>1.1911248797824777E-4</v>
      </c>
      <c r="R204" s="271">
        <f t="shared" si="375"/>
        <v>-1.1008788624664994E-4</v>
      </c>
      <c r="S204" s="271">
        <f t="shared" si="375"/>
        <v>-1.0852709390855941E-4</v>
      </c>
      <c r="T204" s="271">
        <f t="shared" ref="T204:U204" si="376">T99 * (1 - T$114)</f>
        <v>-1.1008788624664994E-4</v>
      </c>
      <c r="U204" s="271">
        <f t="shared" si="376"/>
        <v>-1.1008788624664994E-4</v>
      </c>
      <c r="V204" s="271">
        <f t="shared" ref="V204:W204" si="377">V99 * (1 - V$114)</f>
        <v>-1.0852709390855941E-4</v>
      </c>
      <c r="W204" s="271">
        <f t="shared" si="377"/>
        <v>-1.0852709390855941E-4</v>
      </c>
      <c r="X204" s="271">
        <f t="shared" ref="X204:Y204" si="378">X99 * (1 - X$114)</f>
        <v>-1.0727846003808702E-4</v>
      </c>
      <c r="Y204" s="271">
        <f t="shared" si="378"/>
        <v>-1.0727846003808702E-4</v>
      </c>
      <c r="Z204" s="256"/>
      <c r="AA204" s="256"/>
    </row>
    <row r="205" spans="4:27" x14ac:dyDescent="0.25">
      <c r="F205" t="s">
        <v>195</v>
      </c>
      <c r="G205" t="s">
        <v>270</v>
      </c>
      <c r="H205" s="256"/>
      <c r="I205" s="256"/>
      <c r="J205" s="271">
        <f t="shared" ref="J205:K205" si="379">J100 * (1 - J$115)</f>
        <v>5.6300335453228524E-3</v>
      </c>
      <c r="K205" s="271">
        <f t="shared" si="379"/>
        <v>5.6300335453228524E-3</v>
      </c>
      <c r="L205" s="271">
        <f t="shared" ref="L205:M205" si="380">L100 * (1 - L$115)</f>
        <v>6.0354025732095818E-3</v>
      </c>
      <c r="M205" s="271">
        <f t="shared" si="380"/>
        <v>6.0354025732095818E-3</v>
      </c>
      <c r="N205" s="271">
        <f t="shared" ref="N205:P205" si="381">N100 * (1 - N$115)</f>
        <v>4.7503430717304946E-3</v>
      </c>
      <c r="O205" s="271">
        <f t="shared" si="381"/>
        <v>4.540458016469069E-3</v>
      </c>
      <c r="P205" s="271">
        <f t="shared" si="381"/>
        <v>3.203486744114397E-3</v>
      </c>
      <c r="Q205" s="271">
        <f t="shared" ref="Q205:S205" si="382">Q100 * (1 - Q$115)</f>
        <v>4.1773760974364712E-3</v>
      </c>
      <c r="R205" s="271">
        <f t="shared" si="382"/>
        <v>-3.8608756514937649E-3</v>
      </c>
      <c r="S205" s="271">
        <f t="shared" si="382"/>
        <v>-3.8061373388544391E-3</v>
      </c>
      <c r="T205" s="271">
        <f t="shared" ref="T205:U205" si="383">T100 * (1 - T$115)</f>
        <v>-3.8608756514937649E-3</v>
      </c>
      <c r="U205" s="271">
        <f t="shared" si="383"/>
        <v>-3.8608756514937649E-3</v>
      </c>
      <c r="V205" s="271">
        <f t="shared" ref="V205:W205" si="384">V100 * (1 - V$115)</f>
        <v>-3.8061373388544391E-3</v>
      </c>
      <c r="W205" s="271">
        <f t="shared" si="384"/>
        <v>-3.8061373388544391E-3</v>
      </c>
      <c r="X205" s="271">
        <f t="shared" ref="X205:Y205" si="385">X100 * (1 - X$115)</f>
        <v>-3.7623466887429778E-3</v>
      </c>
      <c r="Y205" s="271">
        <f t="shared" si="385"/>
        <v>-3.7623466887429778E-3</v>
      </c>
      <c r="Z205" s="256"/>
      <c r="AA205" s="256"/>
    </row>
    <row r="206" spans="4:27" x14ac:dyDescent="0.25">
      <c r="F206" t="s">
        <v>196</v>
      </c>
      <c r="G206" t="s">
        <v>270</v>
      </c>
      <c r="H206" s="256"/>
      <c r="I206" s="256"/>
      <c r="J206" s="271">
        <f t="shared" ref="J206:K206" si="386">J101 * (1 - J$116)</f>
        <v>4.4531265756231828E-3</v>
      </c>
      <c r="K206" s="271">
        <f t="shared" si="386"/>
        <v>4.4531265756231828E-3</v>
      </c>
      <c r="L206" s="271">
        <f t="shared" ref="L206:M206" si="387">L101 * (1 - L$116)</f>
        <v>4.7737569193831344E-3</v>
      </c>
      <c r="M206" s="271">
        <f t="shared" si="387"/>
        <v>4.7737569193831344E-3</v>
      </c>
      <c r="N206" s="271">
        <f t="shared" ref="N206:P206" si="388">N101 * (1 - N$116)</f>
        <v>3.7573273419701206E-3</v>
      </c>
      <c r="O206" s="271">
        <f t="shared" si="388"/>
        <v>3.5913168360136765E-3</v>
      </c>
      <c r="P206" s="271">
        <f t="shared" si="388"/>
        <v>0</v>
      </c>
      <c r="Q206" s="271">
        <f t="shared" ref="Q206:S206" si="389">Q101 * (1 - Q$116)</f>
        <v>3.3041338681403286E-3</v>
      </c>
      <c r="R206" s="271">
        <f t="shared" si="389"/>
        <v>-3.0537949428607585E-3</v>
      </c>
      <c r="S206" s="271">
        <f t="shared" si="389"/>
        <v>-3.0104991733494991E-3</v>
      </c>
      <c r="T206" s="271">
        <f t="shared" ref="T206:U206" si="390">T101 * (1 - T$116)</f>
        <v>-3.0537949428607585E-3</v>
      </c>
      <c r="U206" s="271">
        <f t="shared" si="390"/>
        <v>-3.0537949428607585E-3</v>
      </c>
      <c r="V206" s="271">
        <f t="shared" ref="V206:W206" si="391">V101 * (1 - V$116)</f>
        <v>-3.0104991733494991E-3</v>
      </c>
      <c r="W206" s="271">
        <f t="shared" si="391"/>
        <v>-3.0104991733494991E-3</v>
      </c>
      <c r="X206" s="271">
        <f t="shared" ref="X206:Y206" si="392">X101 * (1 - X$116)</f>
        <v>-2.9758625577404932E-3</v>
      </c>
      <c r="Y206" s="271">
        <f t="shared" si="392"/>
        <v>-2.9758625577404932E-3</v>
      </c>
      <c r="Z206" s="256"/>
      <c r="AA206" s="256"/>
    </row>
    <row r="207" spans="4:27" x14ac:dyDescent="0.25">
      <c r="F207" t="s">
        <v>197</v>
      </c>
      <c r="G207" t="s">
        <v>270</v>
      </c>
      <c r="H207" s="256"/>
      <c r="I207" s="256"/>
      <c r="J207" s="271">
        <f t="shared" ref="J207:K207" si="393">J102 * (1 - J$117)</f>
        <v>0</v>
      </c>
      <c r="K207" s="271">
        <f t="shared" si="393"/>
        <v>0</v>
      </c>
      <c r="L207" s="271">
        <f t="shared" ref="L207:M207" si="394">L102 * (1 - L$117)</f>
        <v>0</v>
      </c>
      <c r="M207" s="271">
        <f t="shared" si="394"/>
        <v>0</v>
      </c>
      <c r="N207" s="271">
        <f t="shared" ref="N207:P207" si="395">N102 * (1 - N$117)</f>
        <v>0</v>
      </c>
      <c r="O207" s="271">
        <f t="shared" si="395"/>
        <v>0</v>
      </c>
      <c r="P207" s="271">
        <f t="shared" si="395"/>
        <v>0</v>
      </c>
      <c r="Q207" s="271">
        <f t="shared" ref="Q207:S207" si="396">Q102 * (1 - Q$117)</f>
        <v>0</v>
      </c>
      <c r="R207" s="271">
        <f t="shared" si="396"/>
        <v>0</v>
      </c>
      <c r="S207" s="271">
        <f t="shared" si="396"/>
        <v>0</v>
      </c>
      <c r="T207" s="271">
        <f t="shared" ref="T207:U207" si="397">T102 * (1 - T$117)</f>
        <v>0</v>
      </c>
      <c r="U207" s="271">
        <f t="shared" si="397"/>
        <v>0</v>
      </c>
      <c r="V207" s="271">
        <f t="shared" ref="V207:W207" si="398">V102 * (1 - V$117)</f>
        <v>0</v>
      </c>
      <c r="W207" s="271">
        <f t="shared" si="398"/>
        <v>0</v>
      </c>
      <c r="X207" s="271">
        <f t="shared" ref="X207:Y207" si="399">X102 * (1 - X$117)</f>
        <v>0</v>
      </c>
      <c r="Y207" s="271">
        <f t="shared" si="399"/>
        <v>0</v>
      </c>
      <c r="Z207" s="256"/>
      <c r="AA207" s="256"/>
    </row>
    <row r="208" spans="4:27" x14ac:dyDescent="0.25">
      <c r="F208" t="s">
        <v>198</v>
      </c>
      <c r="G208" t="s">
        <v>270</v>
      </c>
      <c r="H208" s="256"/>
      <c r="I208" s="256"/>
      <c r="J208" s="271">
        <f t="shared" ref="J208:K208" si="400">J103 * (1 - J$118)</f>
        <v>2.0506686713019792E-2</v>
      </c>
      <c r="K208" s="271">
        <f t="shared" si="400"/>
        <v>2.0506686713019792E-2</v>
      </c>
      <c r="L208" s="271">
        <f t="shared" ref="L208:M208" si="401">L103 * (1 - L$118)</f>
        <v>2.1983192242003784E-2</v>
      </c>
      <c r="M208" s="271">
        <f t="shared" si="401"/>
        <v>2.1983192242003784E-2</v>
      </c>
      <c r="N208" s="271">
        <f t="shared" ref="N208:P208" si="402">N103 * (1 - N$118)</f>
        <v>1.3842020139616088E-2</v>
      </c>
      <c r="O208" s="271">
        <f t="shared" si="402"/>
        <v>0</v>
      </c>
      <c r="P208" s="271">
        <f t="shared" si="402"/>
        <v>0</v>
      </c>
      <c r="Q208" s="271">
        <f t="shared" ref="Q208:S208" si="403">Q103 * (1 - Q$118)</f>
        <v>1.5215565275583908E-2</v>
      </c>
      <c r="R208" s="271">
        <f t="shared" si="403"/>
        <v>-1.4062752341659206E-2</v>
      </c>
      <c r="S208" s="271">
        <f t="shared" si="403"/>
        <v>-1.3863374945510919E-2</v>
      </c>
      <c r="T208" s="271">
        <f t="shared" ref="T208:U208" si="404">T103 * (1 - T$118)</f>
        <v>-1.4062752341659206E-2</v>
      </c>
      <c r="U208" s="271">
        <f t="shared" si="404"/>
        <v>-1.4062752341659206E-2</v>
      </c>
      <c r="V208" s="271">
        <f t="shared" ref="V208:W208" si="405">V103 * (1 - V$118)</f>
        <v>-1.3863374945510919E-2</v>
      </c>
      <c r="W208" s="271">
        <f t="shared" si="405"/>
        <v>-1.3863374945510919E-2</v>
      </c>
      <c r="X208" s="271">
        <f t="shared" ref="X208:Y208" si="406">X103 * (1 - X$118)</f>
        <v>0</v>
      </c>
      <c r="Y208" s="271">
        <f t="shared" si="406"/>
        <v>0</v>
      </c>
      <c r="Z208" s="256"/>
      <c r="AA208" s="256"/>
    </row>
    <row r="209" spans="2:27" x14ac:dyDescent="0.25">
      <c r="F209" t="s">
        <v>199</v>
      </c>
      <c r="G209" t="s">
        <v>270</v>
      </c>
      <c r="H209" s="256"/>
      <c r="I209" s="256"/>
      <c r="J209" s="271">
        <f t="shared" ref="J209:K209" si="407">J104 * (1 - J$119)</f>
        <v>8.4135863795337038E-3</v>
      </c>
      <c r="K209" s="271">
        <f t="shared" si="407"/>
        <v>8.4135863795337038E-3</v>
      </c>
      <c r="L209" s="271">
        <f t="shared" ref="L209:M209" si="408">L104 * (1 - L$119)</f>
        <v>9.0193744808401265E-3</v>
      </c>
      <c r="M209" s="271">
        <f t="shared" si="408"/>
        <v>9.0193744808401265E-3</v>
      </c>
      <c r="N209" s="271">
        <f t="shared" ref="N209:P209" si="409">N104 * (1 - N$119)</f>
        <v>0</v>
      </c>
      <c r="O209" s="271">
        <f t="shared" si="409"/>
        <v>0</v>
      </c>
      <c r="P209" s="271">
        <f t="shared" si="409"/>
        <v>0</v>
      </c>
      <c r="Q209" s="271">
        <f t="shared" ref="Q209:S209" si="410">Q104 * (1 - Q$119)</f>
        <v>6.2427185118247236E-3</v>
      </c>
      <c r="R209" s="271">
        <f t="shared" si="410"/>
        <v>-5.769736633535188E-3</v>
      </c>
      <c r="S209" s="271">
        <f t="shared" si="410"/>
        <v>0</v>
      </c>
      <c r="T209" s="271">
        <f t="shared" ref="T209:U209" si="411">T104 * (1 - T$119)</f>
        <v>-5.769736633535188E-3</v>
      </c>
      <c r="U209" s="271">
        <f t="shared" si="411"/>
        <v>-5.769736633535188E-3</v>
      </c>
      <c r="V209" s="271">
        <f t="shared" ref="V209:W209" si="412">V104 * (1 - V$119)</f>
        <v>0</v>
      </c>
      <c r="W209" s="271">
        <f t="shared" si="412"/>
        <v>0</v>
      </c>
      <c r="X209" s="271">
        <f t="shared" ref="X209:Y209" si="413">X104 * (1 - X$119)</f>
        <v>0</v>
      </c>
      <c r="Y209" s="271">
        <f t="shared" si="413"/>
        <v>0</v>
      </c>
      <c r="Z209" s="256"/>
      <c r="AA209" s="256"/>
    </row>
    <row r="210" spans="2:27" x14ac:dyDescent="0.25">
      <c r="F210" t="s">
        <v>200</v>
      </c>
      <c r="G210" t="s">
        <v>270</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1.5405812309734425E-2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270</v>
      </c>
      <c r="H211" s="255"/>
      <c r="I211" s="255" t="s">
        <v>155</v>
      </c>
      <c r="J211" s="269"/>
      <c r="K211" s="269"/>
      <c r="L211" s="269"/>
      <c r="M211" s="269"/>
      <c r="N211" s="269"/>
      <c r="O211" s="269"/>
      <c r="P211" s="269"/>
      <c r="Q211" s="270">
        <f>Q106</f>
        <v>1.1691343166507271</v>
      </c>
      <c r="R211" s="269"/>
      <c r="S211" s="269"/>
      <c r="T211" s="269"/>
      <c r="U211" s="269"/>
      <c r="V211" s="269"/>
      <c r="W211" s="269"/>
      <c r="X211" s="269"/>
      <c r="Y211" s="269"/>
      <c r="Z211" s="256"/>
      <c r="AA211" s="256" t="s">
        <v>653</v>
      </c>
    </row>
    <row r="212" spans="2:27" x14ac:dyDescent="0.25">
      <c r="D212"/>
      <c r="F212" s="28" t="s">
        <v>376</v>
      </c>
      <c r="G212" s="28" t="s">
        <v>270</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270</v>
      </c>
      <c r="H217" s="255"/>
      <c r="I217" s="255"/>
      <c r="J217" s="405">
        <f t="shared" ref="J217:K217" si="421">SUM(J127:J138,J141:J152)</f>
        <v>15.165099534575806</v>
      </c>
      <c r="K217" s="405">
        <f t="shared" si="421"/>
        <v>15.165099534575806</v>
      </c>
      <c r="L217" s="405">
        <f t="shared" ref="L217:M217" si="422">SUM(L127:L138,L141:L152)</f>
        <v>16.257004512876239</v>
      </c>
      <c r="M217" s="405">
        <f t="shared" si="422"/>
        <v>16.257004512876239</v>
      </c>
      <c r="N217" s="405">
        <f t="shared" ref="N217:P217" si="423">SUM(N127:N138,N141:N152)</f>
        <v>10.983038407396837</v>
      </c>
      <c r="O217" s="405">
        <f t="shared" si="423"/>
        <v>8.013422834799643</v>
      </c>
      <c r="P217" s="405">
        <f t="shared" si="423"/>
        <v>5.646996018679137</v>
      </c>
      <c r="Q217" s="405">
        <f t="shared" ref="Q217:S217" si="424">SUM(Q127:Q138,Q141:Q152)</f>
        <v>41.835053862971357</v>
      </c>
      <c r="R217" s="405">
        <f t="shared" si="424"/>
        <v>-10.399682892504964</v>
      </c>
      <c r="S217" s="405">
        <f t="shared" si="424"/>
        <v>-9.3206261710908951</v>
      </c>
      <c r="T217" s="405">
        <f t="shared" ref="T217:U217" si="425">SUM(T127:T138,T141:T152)</f>
        <v>-10.399682892504964</v>
      </c>
      <c r="U217" s="405">
        <f t="shared" si="425"/>
        <v>-10.399682892504964</v>
      </c>
      <c r="V217" s="405">
        <f t="shared" ref="V217:W217" si="426">SUM(V127:V138,V141:V152)</f>
        <v>-9.3206261710908951</v>
      </c>
      <c r="W217" s="405">
        <f t="shared" si="426"/>
        <v>-9.3206261710908951</v>
      </c>
      <c r="X217" s="405">
        <f t="shared" ref="X217:Y217" si="427">SUM(X127:X138,X141:X152)</f>
        <v>-5.9269683096045114</v>
      </c>
      <c r="Y217" s="405">
        <f t="shared" si="427"/>
        <v>-5.9269683096045114</v>
      </c>
      <c r="Z217" s="256"/>
      <c r="AA217" s="256"/>
    </row>
    <row r="218" spans="2:27" x14ac:dyDescent="0.25">
      <c r="D218"/>
      <c r="F218" t="s">
        <v>658</v>
      </c>
      <c r="G218" t="s">
        <v>270</v>
      </c>
      <c r="H218" s="256"/>
      <c r="I218" s="256"/>
      <c r="J218" s="405">
        <f t="shared" ref="J218:K218" si="428">SUM(J157:J168,J171:J182)</f>
        <v>0.75809611326930659</v>
      </c>
      <c r="K218" s="405">
        <f t="shared" si="428"/>
        <v>0.75809611326930659</v>
      </c>
      <c r="L218" s="405">
        <f t="shared" ref="L218:M218" si="429">SUM(L157:L168,L171:L182)</f>
        <v>0.81267992382865617</v>
      </c>
      <c r="M218" s="405">
        <f t="shared" si="429"/>
        <v>0.81267992382865617</v>
      </c>
      <c r="N218" s="405">
        <f t="shared" ref="N218:P218" si="430">SUM(N157:N168,N171:N182)</f>
        <v>0.49946772809417317</v>
      </c>
      <c r="O218" s="405">
        <f t="shared" si="430"/>
        <v>0.28526570901067577</v>
      </c>
      <c r="P218" s="405">
        <f t="shared" si="430"/>
        <v>0.15258463627516752</v>
      </c>
      <c r="Q218" s="405">
        <f t="shared" ref="Q218:S218" si="431">SUM(Q157:Q168,Q171:Q182)</f>
        <v>2.1179781070660906</v>
      </c>
      <c r="R218" s="405">
        <f t="shared" si="431"/>
        <v>-0.51987520174636581</v>
      </c>
      <c r="S218" s="405">
        <f t="shared" si="431"/>
        <v>-0.44045574218544947</v>
      </c>
      <c r="T218" s="405">
        <f t="shared" ref="T218:U218" si="432">SUM(T157:T168,T171:T182)</f>
        <v>-0.51987520174636581</v>
      </c>
      <c r="U218" s="405">
        <f t="shared" si="432"/>
        <v>-0.51987520174636581</v>
      </c>
      <c r="V218" s="405">
        <f t="shared" ref="V218:W218" si="433">SUM(V157:V168,V171:V182)</f>
        <v>-0.44045574218544947</v>
      </c>
      <c r="W218" s="405">
        <f t="shared" si="433"/>
        <v>-0.44045574218544947</v>
      </c>
      <c r="X218" s="405">
        <f t="shared" ref="X218:Y218" si="434">SUM(X157:X168,X171:X182)</f>
        <v>-0.19140970918040676</v>
      </c>
      <c r="Y218" s="405">
        <f t="shared" si="434"/>
        <v>-0.19140970918040676</v>
      </c>
      <c r="Z218" s="256"/>
      <c r="AA218" s="256"/>
    </row>
    <row r="219" spans="2:27" x14ac:dyDescent="0.25">
      <c r="D219"/>
      <c r="F219" s="28" t="s">
        <v>659</v>
      </c>
      <c r="G219" s="28" t="s">
        <v>270</v>
      </c>
      <c r="H219" s="258"/>
      <c r="I219" s="258"/>
      <c r="J219" s="262">
        <f t="shared" ref="J219:K219" si="435">SUM(J187:J198,J201:J212)</f>
        <v>5.3613031602575995E-2</v>
      </c>
      <c r="K219" s="262">
        <f t="shared" si="435"/>
        <v>5.3613031602575995E-2</v>
      </c>
      <c r="L219" s="262">
        <f t="shared" ref="L219:M219" si="436">SUM(L187:L198,L201:L212)</f>
        <v>5.7473232847886774E-2</v>
      </c>
      <c r="M219" s="262">
        <f t="shared" si="436"/>
        <v>5.7473232847886774E-2</v>
      </c>
      <c r="N219" s="262">
        <f t="shared" ref="N219:P219" si="437">SUM(N187:N198,N201:N212)</f>
        <v>3.3558949876465571E-2</v>
      </c>
      <c r="O219" s="262">
        <f t="shared" si="437"/>
        <v>1.6070913442792111E-2</v>
      </c>
      <c r="P219" s="262">
        <f t="shared" si="437"/>
        <v>6.2032080266167114E-3</v>
      </c>
      <c r="Q219" s="262">
        <f t="shared" ref="Q219:S219" si="438">SUM(Q187:Q198,Q201:Q212)</f>
        <v>1.2251702542152194</v>
      </c>
      <c r="R219" s="262">
        <f t="shared" si="438"/>
        <v>-3.6765899643548476E-2</v>
      </c>
      <c r="S219" s="262">
        <f t="shared" si="438"/>
        <v>-3.0242775141836327E-2</v>
      </c>
      <c r="T219" s="262">
        <f t="shared" ref="T219:U219" si="439">SUM(T187:T198,T201:T212)</f>
        <v>-3.6765899643548476E-2</v>
      </c>
      <c r="U219" s="262">
        <f t="shared" si="439"/>
        <v>-3.6765899643548476E-2</v>
      </c>
      <c r="V219" s="262">
        <f t="shared" ref="V219:W219" si="440">SUM(V187:V198,V201:V212)</f>
        <v>-3.0242775141836327E-2</v>
      </c>
      <c r="W219" s="262">
        <f t="shared" si="440"/>
        <v>-3.0242775141836327E-2</v>
      </c>
      <c r="X219" s="262">
        <f t="shared" ref="X219:Y219" si="441">SUM(X187:X198,X201:X212)</f>
        <v>-9.8307406073596861E-3</v>
      </c>
      <c r="Y219" s="262">
        <f t="shared" si="441"/>
        <v>-9.8307406073596861E-3</v>
      </c>
      <c r="Z219" s="256"/>
      <c r="AA219" s="256"/>
    </row>
    <row r="221" spans="2:27" x14ac:dyDescent="0.25">
      <c r="B221" s="25" t="s">
        <v>232</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233</v>
      </c>
      <c r="G223" s="6" t="s">
        <v>56</v>
      </c>
      <c r="H223" s="93">
        <f t="array" ref="H223">SUM(IF(ISERROR(H22:Y219), 1))</f>
        <v>0</v>
      </c>
      <c r="AA223" s="3"/>
    </row>
    <row r="225" spans="2:27" x14ac:dyDescent="0.25">
      <c r="B225" s="25" t="s">
        <v>107</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190</v>
      </c>
      <c r="G23" s="98" t="s">
        <v>168</v>
      </c>
      <c r="H23" s="197">
        <f>'System peak demand'!H226</f>
        <v>2.200000000000002E-2</v>
      </c>
    </row>
    <row r="24" spans="2:27" x14ac:dyDescent="0.25">
      <c r="C24" s="78"/>
      <c r="F24" t="s">
        <v>192</v>
      </c>
      <c r="G24" t="s">
        <v>168</v>
      </c>
      <c r="H24" s="21">
        <f>'System peak demand'!H226</f>
        <v>2.200000000000002E-2</v>
      </c>
    </row>
    <row r="25" spans="2:27" x14ac:dyDescent="0.25">
      <c r="C25" s="78"/>
      <c r="F25" t="s">
        <v>193</v>
      </c>
      <c r="G25" t="s">
        <v>168</v>
      </c>
      <c r="H25" s="21">
        <f>'System peak demand'!H227</f>
        <v>5.3682000000000007E-2</v>
      </c>
    </row>
    <row r="26" spans="2:27" x14ac:dyDescent="0.25">
      <c r="C26" s="78"/>
      <c r="F26" t="s">
        <v>194</v>
      </c>
      <c r="G26" t="s">
        <v>168</v>
      </c>
      <c r="H26" s="21">
        <f>'System peak demand'!H228</f>
        <v>5.3682000000000007E-2</v>
      </c>
    </row>
    <row r="27" spans="2:27" x14ac:dyDescent="0.25">
      <c r="C27" s="78"/>
      <c r="F27" t="s">
        <v>195</v>
      </c>
      <c r="G27" t="s">
        <v>168</v>
      </c>
      <c r="H27" s="21">
        <f>'System peak demand'!H229</f>
        <v>0.13270815000000002</v>
      </c>
    </row>
    <row r="28" spans="2:27" x14ac:dyDescent="0.25">
      <c r="C28" s="78"/>
      <c r="F28" t="s">
        <v>196</v>
      </c>
      <c r="G28" t="s">
        <v>168</v>
      </c>
      <c r="H28" s="21">
        <f>'System peak demand'!H230</f>
        <v>0.13270815000000002</v>
      </c>
    </row>
    <row r="29" spans="2:27" x14ac:dyDescent="0.25">
      <c r="C29" s="78"/>
      <c r="F29" t="s">
        <v>197</v>
      </c>
      <c r="G29" t="s">
        <v>168</v>
      </c>
      <c r="H29" s="21">
        <f>'System peak demand'!H231</f>
        <v>5.3682000000000007E-2</v>
      </c>
    </row>
    <row r="30" spans="2:27" x14ac:dyDescent="0.25">
      <c r="C30" s="78"/>
      <c r="F30" t="s">
        <v>198</v>
      </c>
      <c r="G30" t="s">
        <v>168</v>
      </c>
      <c r="H30" s="21">
        <f>'System peak demand'!H232</f>
        <v>0.55181016550000006</v>
      </c>
    </row>
    <row r="31" spans="2:27" x14ac:dyDescent="0.25">
      <c r="C31" s="78"/>
      <c r="F31" t="s">
        <v>199</v>
      </c>
      <c r="G31" t="s">
        <v>168</v>
      </c>
      <c r="H31" s="21">
        <f>'System peak demand'!H233</f>
        <v>0.55181016550000006</v>
      </c>
    </row>
    <row r="32" spans="2:27" x14ac:dyDescent="0.25">
      <c r="C32" s="78"/>
      <c r="F32" t="s">
        <v>200</v>
      </c>
      <c r="G32" t="s">
        <v>168</v>
      </c>
      <c r="H32" s="21">
        <f>'System peak demand'!H234</f>
        <v>0.57813458081940539</v>
      </c>
    </row>
    <row r="33" spans="3:8" x14ac:dyDescent="0.25">
      <c r="C33" s="78"/>
      <c r="F33" t="s">
        <v>375</v>
      </c>
      <c r="G33" t="s">
        <v>168</v>
      </c>
      <c r="H33" s="56"/>
    </row>
    <row r="34" spans="3:8" x14ac:dyDescent="0.25">
      <c r="C34" s="78"/>
      <c r="F34" s="28" t="s">
        <v>376</v>
      </c>
      <c r="G34" s="28" t="s">
        <v>168</v>
      </c>
      <c r="H34" s="58"/>
    </row>
    <row r="35" spans="3:8" x14ac:dyDescent="0.25">
      <c r="C35" s="78"/>
      <c r="F35" s="2"/>
    </row>
    <row r="36" spans="3:8" x14ac:dyDescent="0.25">
      <c r="E36" s="78" t="s">
        <v>393</v>
      </c>
      <c r="F36" s="2"/>
    </row>
    <row r="37" spans="3:8" x14ac:dyDescent="0.25">
      <c r="C37" s="78"/>
      <c r="F37" s="19" t="s">
        <v>190</v>
      </c>
      <c r="G37" s="54" t="s">
        <v>284</v>
      </c>
      <c r="H37" s="114">
        <f t="array" ref="H37:H46">TRANSPOSE('Load &amp; loss characteristics'!J29:S29)</f>
        <v>1</v>
      </c>
    </row>
    <row r="38" spans="3:8" x14ac:dyDescent="0.25">
      <c r="C38" s="78"/>
      <c r="F38" t="s">
        <v>192</v>
      </c>
      <c r="G38" s="23" t="s">
        <v>284</v>
      </c>
      <c r="H38" s="110">
        <v>1</v>
      </c>
    </row>
    <row r="39" spans="3:8" x14ac:dyDescent="0.25">
      <c r="C39" s="78"/>
      <c r="F39" t="s">
        <v>193</v>
      </c>
      <c r="G39" s="23" t="s">
        <v>284</v>
      </c>
      <c r="H39" s="110">
        <v>1</v>
      </c>
    </row>
    <row r="40" spans="3:8" x14ac:dyDescent="0.25">
      <c r="C40" s="78"/>
      <c r="F40" t="s">
        <v>194</v>
      </c>
      <c r="G40" s="23" t="s">
        <v>284</v>
      </c>
      <c r="H40" s="110">
        <v>1.004</v>
      </c>
    </row>
    <row r="41" spans="3:8" x14ac:dyDescent="0.25">
      <c r="C41" s="78"/>
      <c r="F41" t="s">
        <v>195</v>
      </c>
      <c r="G41" s="23" t="s">
        <v>284</v>
      </c>
      <c r="H41" s="110">
        <v>1.01</v>
      </c>
    </row>
    <row r="42" spans="3:8" x14ac:dyDescent="0.25">
      <c r="C42" s="78"/>
      <c r="F42" t="s">
        <v>196</v>
      </c>
      <c r="G42" s="23" t="s">
        <v>284</v>
      </c>
      <c r="H42" s="110">
        <v>1.014</v>
      </c>
    </row>
    <row r="43" spans="3:8" x14ac:dyDescent="0.25">
      <c r="C43" s="78"/>
      <c r="F43" t="s">
        <v>197</v>
      </c>
      <c r="G43" s="23" t="s">
        <v>284</v>
      </c>
      <c r="H43" s="110">
        <v>1.014</v>
      </c>
    </row>
    <row r="44" spans="3:8" x14ac:dyDescent="0.25">
      <c r="C44" s="78"/>
      <c r="F44" t="s">
        <v>198</v>
      </c>
      <c r="G44" s="23" t="s">
        <v>284</v>
      </c>
      <c r="H44" s="110">
        <v>1.0309999999999999</v>
      </c>
    </row>
    <row r="45" spans="3:8" x14ac:dyDescent="0.25">
      <c r="C45" s="78"/>
      <c r="F45" t="s">
        <v>199</v>
      </c>
      <c r="G45" s="23" t="s">
        <v>284</v>
      </c>
      <c r="H45" s="110">
        <v>1.0429999999999999</v>
      </c>
    </row>
    <row r="46" spans="3:8" x14ac:dyDescent="0.25">
      <c r="C46" s="78"/>
      <c r="F46" t="s">
        <v>200</v>
      </c>
      <c r="G46" s="23" t="s">
        <v>284</v>
      </c>
      <c r="H46" s="110">
        <v>1.0580000000000001</v>
      </c>
    </row>
    <row r="47" spans="3:8" x14ac:dyDescent="0.25">
      <c r="C47" s="78"/>
      <c r="F47" t="s">
        <v>375</v>
      </c>
      <c r="G47" s="23" t="s">
        <v>284</v>
      </c>
      <c r="H47" s="69"/>
    </row>
    <row r="48" spans="3:8" x14ac:dyDescent="0.25">
      <c r="C48" s="78"/>
      <c r="F48" s="28" t="s">
        <v>376</v>
      </c>
      <c r="G48" s="57" t="s">
        <v>284</v>
      </c>
      <c r="H48" s="71"/>
    </row>
    <row r="49" spans="3:8" x14ac:dyDescent="0.25">
      <c r="C49" s="78"/>
      <c r="F49" s="2"/>
      <c r="H49" s="79"/>
    </row>
    <row r="50" spans="3:8" x14ac:dyDescent="0.25">
      <c r="C50" s="78"/>
      <c r="E50" s="78" t="s">
        <v>583</v>
      </c>
      <c r="H50" s="79"/>
    </row>
    <row r="51" spans="3:8" x14ac:dyDescent="0.25">
      <c r="C51" s="78"/>
      <c r="E51" s="24"/>
      <c r="F51" s="19" t="s">
        <v>190</v>
      </c>
      <c r="G51" s="19" t="s">
        <v>584</v>
      </c>
      <c r="H51" s="73"/>
    </row>
    <row r="52" spans="3:8" x14ac:dyDescent="0.25">
      <c r="C52" s="78"/>
      <c r="E52" s="24"/>
      <c r="F52" t="s">
        <v>192</v>
      </c>
      <c r="G52" t="s">
        <v>584</v>
      </c>
      <c r="H52" s="69"/>
    </row>
    <row r="53" spans="3:8" x14ac:dyDescent="0.25">
      <c r="C53" s="78"/>
      <c r="E53" s="24"/>
      <c r="F53" t="s">
        <v>193</v>
      </c>
      <c r="G53" t="s">
        <v>584</v>
      </c>
      <c r="H53" s="110">
        <f t="array" ref="H53:H60">TRANSPOSE('Unit costs'!L114:S114)</f>
        <v>11.183385892036013</v>
      </c>
    </row>
    <row r="54" spans="3:8" x14ac:dyDescent="0.25">
      <c r="C54" s="78"/>
      <c r="E54" s="24"/>
      <c r="F54" t="s">
        <v>194</v>
      </c>
      <c r="G54" t="s">
        <v>584</v>
      </c>
      <c r="H54" s="110">
        <v>1.608332425094211</v>
      </c>
    </row>
    <row r="55" spans="3:8" x14ac:dyDescent="0.25">
      <c r="C55" s="78"/>
      <c r="E55" s="24"/>
      <c r="F55" t="s">
        <v>195</v>
      </c>
      <c r="G55" t="s">
        <v>584</v>
      </c>
      <c r="H55" s="110">
        <v>5.1736036254338442</v>
      </c>
    </row>
    <row r="56" spans="3:8" x14ac:dyDescent="0.25">
      <c r="C56" s="78"/>
      <c r="E56" s="24"/>
      <c r="F56" t="s">
        <v>196</v>
      </c>
      <c r="G56" t="s">
        <v>584</v>
      </c>
      <c r="H56" s="110">
        <v>4.1083155247503251</v>
      </c>
    </row>
    <row r="57" spans="3:8" x14ac:dyDescent="0.25">
      <c r="C57" s="78"/>
      <c r="E57" s="24"/>
      <c r="F57" t="s">
        <v>197</v>
      </c>
      <c r="G57" t="s">
        <v>584</v>
      </c>
      <c r="H57" s="110">
        <v>0</v>
      </c>
    </row>
    <row r="58" spans="3:8" x14ac:dyDescent="0.25">
      <c r="C58" s="78"/>
      <c r="E58" s="24"/>
      <c r="F58" t="s">
        <v>198</v>
      </c>
      <c r="G58" t="s">
        <v>584</v>
      </c>
      <c r="H58" s="110">
        <v>19.236008392745688</v>
      </c>
    </row>
    <row r="59" spans="3:8" x14ac:dyDescent="0.25">
      <c r="C59" s="78"/>
      <c r="E59" s="24"/>
      <c r="F59" t="s">
        <v>199</v>
      </c>
      <c r="G59" t="s">
        <v>584</v>
      </c>
      <c r="H59" s="110">
        <v>7.9841054132210934</v>
      </c>
    </row>
    <row r="60" spans="3:8" x14ac:dyDescent="0.25">
      <c r="C60" s="78"/>
      <c r="E60" s="24"/>
      <c r="F60" t="s">
        <v>200</v>
      </c>
      <c r="G60" t="s">
        <v>584</v>
      </c>
      <c r="H60" s="110">
        <v>19.986579311127922</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190</v>
      </c>
      <c r="G65" s="19" t="s">
        <v>584</v>
      </c>
      <c r="H65" s="114">
        <f t="array" ref="H65:H74">TRANSPOSE('Unit costs'!J115:S115)</f>
        <v>3.5639517620587906</v>
      </c>
    </row>
    <row r="66" spans="3:25" x14ac:dyDescent="0.25">
      <c r="C66" s="78"/>
      <c r="F66" t="s">
        <v>192</v>
      </c>
      <c r="G66" t="s">
        <v>584</v>
      </c>
      <c r="H66" s="110">
        <v>0</v>
      </c>
    </row>
    <row r="67" spans="3:25" x14ac:dyDescent="0.25">
      <c r="C67" s="78"/>
      <c r="F67" t="s">
        <v>193</v>
      </c>
      <c r="G67" t="s">
        <v>584</v>
      </c>
      <c r="H67" s="110">
        <v>10.131177452426856</v>
      </c>
    </row>
    <row r="68" spans="3:25" x14ac:dyDescent="0.25">
      <c r="C68" s="78"/>
      <c r="F68" t="s">
        <v>194</v>
      </c>
      <c r="G68" t="s">
        <v>584</v>
      </c>
      <c r="H68" s="110">
        <v>1.4570096532862273</v>
      </c>
    </row>
    <row r="69" spans="3:25" x14ac:dyDescent="0.25">
      <c r="C69" s="78"/>
      <c r="F69" t="s">
        <v>195</v>
      </c>
      <c r="G69" t="s">
        <v>584</v>
      </c>
      <c r="H69" s="110">
        <v>4.6868360712756143</v>
      </c>
    </row>
    <row r="70" spans="3:25" x14ac:dyDescent="0.25">
      <c r="C70" s="78"/>
      <c r="F70" t="s">
        <v>196</v>
      </c>
      <c r="G70" t="s">
        <v>584</v>
      </c>
      <c r="H70" s="110">
        <v>3.7217774664688879</v>
      </c>
    </row>
    <row r="71" spans="3:25" x14ac:dyDescent="0.25">
      <c r="C71" s="78"/>
      <c r="F71" t="s">
        <v>197</v>
      </c>
      <c r="G71" t="s">
        <v>584</v>
      </c>
      <c r="H71" s="110">
        <v>0</v>
      </c>
    </row>
    <row r="72" spans="3:25" x14ac:dyDescent="0.25">
      <c r="C72" s="78"/>
      <c r="F72" t="s">
        <v>198</v>
      </c>
      <c r="G72" t="s">
        <v>584</v>
      </c>
      <c r="H72" s="110">
        <v>17.426154868004733</v>
      </c>
    </row>
    <row r="73" spans="3:25" x14ac:dyDescent="0.25">
      <c r="C73" s="78"/>
      <c r="F73" t="s">
        <v>199</v>
      </c>
      <c r="G73" t="s">
        <v>584</v>
      </c>
      <c r="H73" s="110">
        <v>7.2329068782136474</v>
      </c>
    </row>
    <row r="74" spans="3:25" x14ac:dyDescent="0.25">
      <c r="C74" s="78"/>
      <c r="F74" t="s">
        <v>200</v>
      </c>
      <c r="G74" t="s">
        <v>584</v>
      </c>
      <c r="H74" s="110">
        <v>18.106107007559945</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190</v>
      </c>
      <c r="G80" s="54" t="s">
        <v>284</v>
      </c>
      <c r="H80" s="198"/>
      <c r="I80" s="198"/>
      <c r="J80" s="114">
        <f t="array" ref="J80:Y89">TRANSPOSE('Load &amp; loss characteristics'!J145:S160)</f>
        <v>1.0580000000000001</v>
      </c>
      <c r="K80" s="114">
        <v>1.0580000000000001</v>
      </c>
      <c r="L80" s="114">
        <v>1.0580000000000001</v>
      </c>
      <c r="M80" s="114">
        <v>1.0580000000000001</v>
      </c>
      <c r="N80" s="114">
        <v>1.0580000000000001</v>
      </c>
      <c r="O80" s="114">
        <v>1.0429999999999999</v>
      </c>
      <c r="P80" s="114">
        <v>1.0309999999999999</v>
      </c>
      <c r="Q80" s="114">
        <v>1.0580000000000001</v>
      </c>
      <c r="R80" s="114">
        <v>-1.0580000000000001</v>
      </c>
      <c r="S80" s="114">
        <v>-1.0429999999999999</v>
      </c>
      <c r="T80" s="114">
        <v>-1.0580000000000001</v>
      </c>
      <c r="U80" s="114">
        <v>-1.0580000000000001</v>
      </c>
      <c r="V80" s="114">
        <v>-1.0429999999999999</v>
      </c>
      <c r="W80" s="114">
        <v>-1.0429999999999999</v>
      </c>
      <c r="X80" s="114">
        <v>-1.0309999999999999</v>
      </c>
      <c r="Y80" s="114">
        <v>-1.0309999999999999</v>
      </c>
    </row>
    <row r="81" spans="3:42" x14ac:dyDescent="0.25">
      <c r="C81" s="78"/>
      <c r="F81" t="s">
        <v>192</v>
      </c>
      <c r="G81" s="23" t="s">
        <v>284</v>
      </c>
      <c r="H81" s="199"/>
      <c r="I81" s="199"/>
      <c r="J81" s="110">
        <v>1.0580000000000001</v>
      </c>
      <c r="K81" s="110">
        <v>1.0580000000000001</v>
      </c>
      <c r="L81" s="110">
        <v>1.0580000000000001</v>
      </c>
      <c r="M81" s="110">
        <v>1.0580000000000001</v>
      </c>
      <c r="N81" s="110">
        <v>1.0580000000000001</v>
      </c>
      <c r="O81" s="110">
        <v>1.0429999999999999</v>
      </c>
      <c r="P81" s="110">
        <v>1.0309999999999999</v>
      </c>
      <c r="Q81" s="110">
        <v>1.0580000000000001</v>
      </c>
      <c r="R81" s="110">
        <v>-1.0580000000000001</v>
      </c>
      <c r="S81" s="110">
        <v>-1.0429999999999999</v>
      </c>
      <c r="T81" s="110">
        <v>-1.0580000000000001</v>
      </c>
      <c r="U81" s="110">
        <v>-1.0580000000000001</v>
      </c>
      <c r="V81" s="110">
        <v>-1.0429999999999999</v>
      </c>
      <c r="W81" s="110">
        <v>-1.0429999999999999</v>
      </c>
      <c r="X81" s="110">
        <v>-1.0309999999999999</v>
      </c>
      <c r="Y81" s="110">
        <v>-1.0309999999999999</v>
      </c>
    </row>
    <row r="82" spans="3:42" x14ac:dyDescent="0.25">
      <c r="C82" s="78"/>
      <c r="F82" t="s">
        <v>193</v>
      </c>
      <c r="G82" s="23" t="s">
        <v>284</v>
      </c>
      <c r="H82" s="199"/>
      <c r="I82" s="199"/>
      <c r="J82" s="110">
        <v>1.0580000000000001</v>
      </c>
      <c r="K82" s="110">
        <v>1.0580000000000001</v>
      </c>
      <c r="L82" s="110">
        <v>1.0580000000000001</v>
      </c>
      <c r="M82" s="110">
        <v>1.0580000000000001</v>
      </c>
      <c r="N82" s="110">
        <v>1.0580000000000001</v>
      </c>
      <c r="O82" s="110">
        <v>1.0429999999999999</v>
      </c>
      <c r="P82" s="110">
        <v>1.0309999999999999</v>
      </c>
      <c r="Q82" s="110">
        <v>1.0580000000000001</v>
      </c>
      <c r="R82" s="110">
        <v>-1.0580000000000001</v>
      </c>
      <c r="S82" s="110">
        <v>-1.0429999999999999</v>
      </c>
      <c r="T82" s="110">
        <v>-1.0580000000000001</v>
      </c>
      <c r="U82" s="110">
        <v>-1.0580000000000001</v>
      </c>
      <c r="V82" s="110">
        <v>-1.0429999999999999</v>
      </c>
      <c r="W82" s="110">
        <v>-1.0429999999999999</v>
      </c>
      <c r="X82" s="110">
        <v>-1.0309999999999999</v>
      </c>
      <c r="Y82" s="110">
        <v>-1.0309999999999999</v>
      </c>
    </row>
    <row r="83" spans="3:42" x14ac:dyDescent="0.25">
      <c r="C83" s="78"/>
      <c r="F83" t="s">
        <v>194</v>
      </c>
      <c r="G83" s="23" t="s">
        <v>284</v>
      </c>
      <c r="H83" s="199"/>
      <c r="I83" s="199"/>
      <c r="J83" s="110">
        <v>1.0580000000000001</v>
      </c>
      <c r="K83" s="110">
        <v>1.0580000000000001</v>
      </c>
      <c r="L83" s="110">
        <v>1.0580000000000001</v>
      </c>
      <c r="M83" s="110">
        <v>1.0580000000000001</v>
      </c>
      <c r="N83" s="110">
        <v>1.0580000000000001</v>
      </c>
      <c r="O83" s="110">
        <v>1.0429999999999999</v>
      </c>
      <c r="P83" s="110">
        <v>1.0309999999999999</v>
      </c>
      <c r="Q83" s="110">
        <v>1.0580000000000001</v>
      </c>
      <c r="R83" s="110">
        <v>-1.0580000000000001</v>
      </c>
      <c r="S83" s="110">
        <v>-1.0429999999999999</v>
      </c>
      <c r="T83" s="110">
        <v>-1.0580000000000001</v>
      </c>
      <c r="U83" s="110">
        <v>-1.0580000000000001</v>
      </c>
      <c r="V83" s="110">
        <v>-1.0429999999999999</v>
      </c>
      <c r="W83" s="110">
        <v>-1.0429999999999999</v>
      </c>
      <c r="X83" s="110">
        <v>-1.0309999999999999</v>
      </c>
      <c r="Y83" s="110">
        <v>-1.0309999999999999</v>
      </c>
    </row>
    <row r="84" spans="3:42" x14ac:dyDescent="0.25">
      <c r="C84" s="78"/>
      <c r="F84" t="s">
        <v>195</v>
      </c>
      <c r="G84" s="23" t="s">
        <v>284</v>
      </c>
      <c r="H84" s="199"/>
      <c r="I84" s="199"/>
      <c r="J84" s="110">
        <v>1.0580000000000001</v>
      </c>
      <c r="K84" s="110">
        <v>1.0580000000000001</v>
      </c>
      <c r="L84" s="110">
        <v>1.0580000000000001</v>
      </c>
      <c r="M84" s="110">
        <v>1.0580000000000001</v>
      </c>
      <c r="N84" s="110">
        <v>1.0580000000000001</v>
      </c>
      <c r="O84" s="110">
        <v>1.0429999999999999</v>
      </c>
      <c r="P84" s="110">
        <v>1.0309999999999999</v>
      </c>
      <c r="Q84" s="110">
        <v>1.0580000000000001</v>
      </c>
      <c r="R84" s="110">
        <v>-1.0580000000000001</v>
      </c>
      <c r="S84" s="110">
        <v>-1.0429999999999999</v>
      </c>
      <c r="T84" s="110">
        <v>-1.0580000000000001</v>
      </c>
      <c r="U84" s="110">
        <v>-1.0580000000000001</v>
      </c>
      <c r="V84" s="110">
        <v>-1.0429999999999999</v>
      </c>
      <c r="W84" s="110">
        <v>-1.0429999999999999</v>
      </c>
      <c r="X84" s="110">
        <v>-1.0309999999999999</v>
      </c>
      <c r="Y84" s="110">
        <v>-1.0309999999999999</v>
      </c>
    </row>
    <row r="85" spans="3:42" x14ac:dyDescent="0.25">
      <c r="C85" s="78"/>
      <c r="F85" t="s">
        <v>196</v>
      </c>
      <c r="G85" s="23" t="s">
        <v>284</v>
      </c>
      <c r="H85" s="199"/>
      <c r="I85" s="199"/>
      <c r="J85" s="110">
        <v>1.0580000000000001</v>
      </c>
      <c r="K85" s="110">
        <v>1.0580000000000001</v>
      </c>
      <c r="L85" s="110">
        <v>1.0580000000000001</v>
      </c>
      <c r="M85" s="110">
        <v>1.0580000000000001</v>
      </c>
      <c r="N85" s="110">
        <v>1.0580000000000001</v>
      </c>
      <c r="O85" s="110">
        <v>1.0429999999999999</v>
      </c>
      <c r="P85" s="110">
        <v>1.0309999999999999</v>
      </c>
      <c r="Q85" s="110">
        <v>1.0580000000000001</v>
      </c>
      <c r="R85" s="110">
        <v>-1.0580000000000001</v>
      </c>
      <c r="S85" s="110">
        <v>-1.0429999999999999</v>
      </c>
      <c r="T85" s="110">
        <v>-1.0580000000000001</v>
      </c>
      <c r="U85" s="110">
        <v>-1.0580000000000001</v>
      </c>
      <c r="V85" s="110">
        <v>-1.0429999999999999</v>
      </c>
      <c r="W85" s="110">
        <v>-1.0429999999999999</v>
      </c>
      <c r="X85" s="110">
        <v>-1.0309999999999999</v>
      </c>
      <c r="Y85" s="110">
        <v>-1.0309999999999999</v>
      </c>
    </row>
    <row r="86" spans="3:42" x14ac:dyDescent="0.25">
      <c r="C86" s="78"/>
      <c r="F86" t="s">
        <v>197</v>
      </c>
      <c r="G86" s="23" t="s">
        <v>284</v>
      </c>
      <c r="H86" s="199"/>
      <c r="I86" s="199"/>
      <c r="J86" s="110">
        <v>0</v>
      </c>
      <c r="K86" s="110">
        <v>0</v>
      </c>
      <c r="L86" s="110">
        <v>0</v>
      </c>
      <c r="M86" s="110">
        <v>0</v>
      </c>
      <c r="N86" s="110">
        <v>0</v>
      </c>
      <c r="O86" s="110">
        <v>0</v>
      </c>
      <c r="P86" s="110">
        <v>0</v>
      </c>
      <c r="Q86" s="110">
        <v>0</v>
      </c>
      <c r="R86" s="110">
        <v>0</v>
      </c>
      <c r="S86" s="110">
        <v>0</v>
      </c>
      <c r="T86" s="110">
        <v>0</v>
      </c>
      <c r="U86" s="110">
        <v>0</v>
      </c>
      <c r="V86" s="110">
        <v>0</v>
      </c>
      <c r="W86" s="110">
        <v>0</v>
      </c>
      <c r="X86" s="110">
        <v>0</v>
      </c>
      <c r="Y86" s="110">
        <v>0</v>
      </c>
    </row>
    <row r="87" spans="3:42" x14ac:dyDescent="0.25">
      <c r="C87" s="78"/>
      <c r="F87" t="s">
        <v>198</v>
      </c>
      <c r="G87" s="23" t="s">
        <v>284</v>
      </c>
      <c r="H87" s="199"/>
      <c r="I87" s="199"/>
      <c r="J87" s="110">
        <v>1.0580000000000001</v>
      </c>
      <c r="K87" s="110">
        <v>1.0580000000000001</v>
      </c>
      <c r="L87" s="110">
        <v>1.0580000000000001</v>
      </c>
      <c r="M87" s="110">
        <v>1.0580000000000001</v>
      </c>
      <c r="N87" s="110">
        <v>1.0580000000000001</v>
      </c>
      <c r="O87" s="110">
        <v>1.0429999999999999</v>
      </c>
      <c r="P87" s="110">
        <v>1.0309999999999999</v>
      </c>
      <c r="Q87" s="110">
        <v>1.0580000000000001</v>
      </c>
      <c r="R87" s="110">
        <v>-1.0580000000000001</v>
      </c>
      <c r="S87" s="110">
        <v>-1.0429999999999999</v>
      </c>
      <c r="T87" s="110">
        <v>-1.0580000000000001</v>
      </c>
      <c r="U87" s="110">
        <v>-1.0580000000000001</v>
      </c>
      <c r="V87" s="110">
        <v>-1.0429999999999999</v>
      </c>
      <c r="W87" s="110">
        <v>-1.0429999999999999</v>
      </c>
      <c r="X87" s="110">
        <v>0</v>
      </c>
      <c r="Y87" s="110">
        <v>0</v>
      </c>
    </row>
    <row r="88" spans="3:42" x14ac:dyDescent="0.25">
      <c r="C88" s="78"/>
      <c r="F88" t="s">
        <v>199</v>
      </c>
      <c r="G88" s="23" t="s">
        <v>284</v>
      </c>
      <c r="H88" s="199"/>
      <c r="I88" s="199"/>
      <c r="J88" s="110">
        <v>1.0580000000000001</v>
      </c>
      <c r="K88" s="110">
        <v>1.0580000000000001</v>
      </c>
      <c r="L88" s="110">
        <v>1.0580000000000001</v>
      </c>
      <c r="M88" s="110">
        <v>1.0580000000000001</v>
      </c>
      <c r="N88" s="110">
        <v>1.0580000000000001</v>
      </c>
      <c r="O88" s="110">
        <v>1.0429999999999999</v>
      </c>
      <c r="P88" s="110">
        <v>0</v>
      </c>
      <c r="Q88" s="110">
        <v>1.0580000000000001</v>
      </c>
      <c r="R88" s="110">
        <v>-1.0580000000000001</v>
      </c>
      <c r="S88" s="110">
        <v>0</v>
      </c>
      <c r="T88" s="110">
        <v>-1.0580000000000001</v>
      </c>
      <c r="U88" s="110">
        <v>-1.0580000000000001</v>
      </c>
      <c r="V88" s="110">
        <v>0</v>
      </c>
      <c r="W88" s="110">
        <v>0</v>
      </c>
      <c r="X88" s="110">
        <v>0</v>
      </c>
      <c r="Y88" s="110">
        <v>0</v>
      </c>
    </row>
    <row r="89" spans="3:42" x14ac:dyDescent="0.25">
      <c r="C89" s="78"/>
      <c r="F89" t="s">
        <v>200</v>
      </c>
      <c r="G89" s="23" t="s">
        <v>284</v>
      </c>
      <c r="H89" s="199"/>
      <c r="I89" s="199"/>
      <c r="J89" s="110">
        <v>1.0580000000000001</v>
      </c>
      <c r="K89" s="110">
        <v>1.0580000000000001</v>
      </c>
      <c r="L89" s="110">
        <v>1.0580000000000001</v>
      </c>
      <c r="M89" s="110">
        <v>1.0580000000000001</v>
      </c>
      <c r="N89" s="110">
        <v>1.0580000000000001</v>
      </c>
      <c r="O89" s="110">
        <v>0</v>
      </c>
      <c r="P89" s="110">
        <v>0</v>
      </c>
      <c r="Q89" s="110">
        <v>1.0580000000000001</v>
      </c>
      <c r="R89" s="110">
        <v>0</v>
      </c>
      <c r="S89" s="110">
        <v>0</v>
      </c>
      <c r="T89" s="110">
        <v>0</v>
      </c>
      <c r="U89" s="110">
        <v>0</v>
      </c>
      <c r="V89" s="110">
        <v>0</v>
      </c>
      <c r="W89" s="110">
        <v>0</v>
      </c>
      <c r="X89" s="110">
        <v>0</v>
      </c>
      <c r="Y89" s="110">
        <v>0</v>
      </c>
    </row>
    <row r="90" spans="3:42" x14ac:dyDescent="0.25">
      <c r="C90" s="78"/>
      <c r="F90" t="s">
        <v>375</v>
      </c>
      <c r="G90" s="23" t="s">
        <v>284</v>
      </c>
      <c r="J90" s="69"/>
      <c r="K90" s="69"/>
      <c r="L90" s="69"/>
      <c r="M90" s="69"/>
      <c r="N90" s="69"/>
      <c r="O90" s="69"/>
      <c r="P90" s="69"/>
      <c r="Q90" s="69"/>
      <c r="R90" s="69"/>
      <c r="S90" s="69"/>
      <c r="T90" s="69"/>
      <c r="U90" s="69"/>
      <c r="V90" s="69"/>
      <c r="W90" s="69"/>
      <c r="X90" s="69"/>
      <c r="Y90" s="69"/>
    </row>
    <row r="91" spans="3:42" x14ac:dyDescent="0.25">
      <c r="C91" s="78"/>
      <c r="F91" s="28" t="s">
        <v>376</v>
      </c>
      <c r="G91" s="57" t="s">
        <v>284</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121</v>
      </c>
      <c r="H93" s="13"/>
      <c r="J93" s="53"/>
      <c r="L93" s="53"/>
      <c r="AP93" s="3"/>
    </row>
    <row r="94" spans="3:42" x14ac:dyDescent="0.25">
      <c r="C94" s="27"/>
      <c r="D94"/>
      <c r="E94"/>
      <c r="F94" s="19" t="s">
        <v>192</v>
      </c>
      <c r="G94" s="19" t="s">
        <v>168</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193</v>
      </c>
      <c r="G95" t="s">
        <v>168</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194</v>
      </c>
      <c r="G96" t="s">
        <v>168</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195</v>
      </c>
      <c r="G97" t="s">
        <v>168</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196</v>
      </c>
      <c r="G98" t="s">
        <v>168</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197</v>
      </c>
      <c r="G99" t="s">
        <v>168</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198</v>
      </c>
      <c r="G100" t="s">
        <v>168</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199</v>
      </c>
      <c r="G101" t="s">
        <v>168</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200</v>
      </c>
      <c r="G102" s="28" t="s">
        <v>168</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190</v>
      </c>
      <c r="G105" s="19" t="s">
        <v>168</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192</v>
      </c>
      <c r="G106" t="s">
        <v>168</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193</v>
      </c>
      <c r="G107" t="s">
        <v>168</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194</v>
      </c>
      <c r="G108" t="s">
        <v>168</v>
      </c>
      <c r="H108" s="199"/>
      <c r="I108" s="199"/>
      <c r="J108" s="21">
        <v>0</v>
      </c>
      <c r="K108" s="21">
        <v>0</v>
      </c>
      <c r="L108" s="21">
        <v>0</v>
      </c>
      <c r="M108" s="21">
        <v>0</v>
      </c>
      <c r="N108" s="21">
        <v>0</v>
      </c>
      <c r="O108" s="21">
        <v>0</v>
      </c>
      <c r="P108" s="21">
        <v>0.67</v>
      </c>
      <c r="Q108" s="21">
        <v>0</v>
      </c>
      <c r="R108" s="21">
        <v>0</v>
      </c>
      <c r="S108" s="21">
        <v>0</v>
      </c>
      <c r="T108" s="21">
        <v>0</v>
      </c>
      <c r="U108" s="21">
        <v>0</v>
      </c>
      <c r="V108" s="21">
        <v>0</v>
      </c>
      <c r="W108" s="21">
        <v>0</v>
      </c>
      <c r="X108" s="21">
        <v>0.67</v>
      </c>
      <c r="Y108" s="21">
        <v>0.67</v>
      </c>
    </row>
    <row r="109" spans="3:42" x14ac:dyDescent="0.25">
      <c r="C109" s="78"/>
      <c r="F109" t="s">
        <v>195</v>
      </c>
      <c r="G109" t="s">
        <v>168</v>
      </c>
      <c r="H109" s="199"/>
      <c r="I109" s="199"/>
      <c r="J109" s="21">
        <v>0</v>
      </c>
      <c r="K109" s="21">
        <v>0</v>
      </c>
      <c r="L109" s="21">
        <v>0</v>
      </c>
      <c r="M109" s="21">
        <v>0</v>
      </c>
      <c r="N109" s="21">
        <v>0</v>
      </c>
      <c r="O109" s="21">
        <v>0</v>
      </c>
      <c r="P109" s="21">
        <v>0.67</v>
      </c>
      <c r="Q109" s="21">
        <v>0</v>
      </c>
      <c r="R109" s="21">
        <v>0</v>
      </c>
      <c r="S109" s="21">
        <v>0</v>
      </c>
      <c r="T109" s="21">
        <v>0</v>
      </c>
      <c r="U109" s="21">
        <v>0</v>
      </c>
      <c r="V109" s="21">
        <v>0</v>
      </c>
      <c r="W109" s="21">
        <v>0</v>
      </c>
      <c r="X109" s="21">
        <v>0.67</v>
      </c>
      <c r="Y109" s="21">
        <v>0.67</v>
      </c>
    </row>
    <row r="110" spans="3:42" x14ac:dyDescent="0.25">
      <c r="C110" s="78"/>
      <c r="F110" t="s">
        <v>196</v>
      </c>
      <c r="G110" t="s">
        <v>168</v>
      </c>
      <c r="H110" s="199"/>
      <c r="I110" s="199"/>
      <c r="J110" s="21">
        <v>0.81</v>
      </c>
      <c r="K110" s="21">
        <v>0.81</v>
      </c>
      <c r="L110" s="21">
        <v>0.81</v>
      </c>
      <c r="M110" s="21">
        <v>0.81</v>
      </c>
      <c r="N110" s="21">
        <v>0.81</v>
      </c>
      <c r="O110" s="21">
        <v>0.81</v>
      </c>
      <c r="P110" s="21">
        <v>1</v>
      </c>
      <c r="Q110" s="21">
        <v>0.81</v>
      </c>
      <c r="R110" s="21">
        <v>0.81</v>
      </c>
      <c r="S110" s="21">
        <v>0.81</v>
      </c>
      <c r="T110" s="21">
        <v>0.81</v>
      </c>
      <c r="U110" s="21">
        <v>0.81</v>
      </c>
      <c r="V110" s="21">
        <v>0.81</v>
      </c>
      <c r="W110" s="21">
        <v>0.81</v>
      </c>
      <c r="X110" s="21">
        <v>1</v>
      </c>
      <c r="Y110" s="21">
        <v>1</v>
      </c>
    </row>
    <row r="111" spans="3:42" x14ac:dyDescent="0.25">
      <c r="C111" s="78"/>
      <c r="F111" t="s">
        <v>197</v>
      </c>
      <c r="G111" t="s">
        <v>168</v>
      </c>
      <c r="H111" s="199"/>
      <c r="I111" s="199"/>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42" x14ac:dyDescent="0.25">
      <c r="C112" s="78"/>
      <c r="F112" t="s">
        <v>198</v>
      </c>
      <c r="G112" t="s">
        <v>168</v>
      </c>
      <c r="H112" s="199"/>
      <c r="I112" s="199"/>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2:27" x14ac:dyDescent="0.25">
      <c r="C113" s="78"/>
      <c r="F113" t="s">
        <v>199</v>
      </c>
      <c r="G113" t="s">
        <v>168</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200</v>
      </c>
      <c r="G114" t="s">
        <v>168</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168</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168</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155</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228</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155</v>
      </c>
      <c r="AA131" t="s">
        <v>703</v>
      </c>
    </row>
    <row r="132" spans="3:27" x14ac:dyDescent="0.25">
      <c r="C132" s="78"/>
      <c r="F132" s="19" t="s">
        <v>190</v>
      </c>
      <c r="G132" s="19" t="s">
        <v>272</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192</v>
      </c>
      <c r="G133" t="s">
        <v>272</v>
      </c>
      <c r="J133" s="69"/>
      <c r="K133" s="69"/>
      <c r="L133" s="69"/>
      <c r="M133" s="69"/>
      <c r="N133" s="69"/>
      <c r="O133" s="69"/>
      <c r="P133" s="69"/>
      <c r="Q133" s="69"/>
      <c r="R133" s="69"/>
      <c r="S133" s="69"/>
      <c r="T133" s="69"/>
      <c r="U133" s="69"/>
      <c r="V133" s="69"/>
      <c r="W133" s="69"/>
      <c r="X133" s="69"/>
      <c r="Y133" s="69"/>
    </row>
    <row r="134" spans="3:27" x14ac:dyDescent="0.25">
      <c r="C134" s="78"/>
      <c r="F134" t="s">
        <v>193</v>
      </c>
      <c r="G134" t="s">
        <v>272</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v>
      </c>
      <c r="Q134" s="88">
        <f t="shared" ref="Q134" si="3">hundred*Q95*$H53*Q82/$H39*(1-Q107)/days_in_year/(1+$H25)*PowerFactor</f>
        <v>0</v>
      </c>
      <c r="R134" s="69"/>
      <c r="S134" s="69"/>
      <c r="T134" s="69"/>
      <c r="U134" s="69"/>
      <c r="V134" s="69"/>
      <c r="W134" s="69"/>
      <c r="X134" s="69"/>
      <c r="Y134" s="69"/>
    </row>
    <row r="135" spans="3:27" x14ac:dyDescent="0.25">
      <c r="C135" s="78"/>
      <c r="F135" t="s">
        <v>194</v>
      </c>
      <c r="G135" t="s">
        <v>272</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195</v>
      </c>
      <c r="G136" t="s">
        <v>272</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8.0091623072418586E-2</v>
      </c>
      <c r="Q136" s="88">
        <f t="shared" ref="Q136" si="11">hundred*Q97*$H55*Q84/$H41*(1-Q109)/days_in_year/(1+$H27)*PowerFactor</f>
        <v>0</v>
      </c>
      <c r="R136" s="69"/>
      <c r="S136" s="69"/>
      <c r="T136" s="69"/>
      <c r="U136" s="69"/>
      <c r="V136" s="69"/>
      <c r="W136" s="69"/>
      <c r="X136" s="69"/>
      <c r="Y136" s="69"/>
    </row>
    <row r="137" spans="3:27" x14ac:dyDescent="0.25">
      <c r="C137" s="78"/>
      <c r="F137" t="s">
        <v>196</v>
      </c>
      <c r="G137" t="s">
        <v>272</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v>
      </c>
      <c r="Q137" s="88">
        <f t="shared" ref="Q137" si="15">hundred*Q98*$H56*Q85/$H42*(1-Q110)/days_in_year/(1+$H28)*PowerFactor</f>
        <v>0</v>
      </c>
      <c r="R137" s="69"/>
      <c r="S137" s="69"/>
      <c r="T137" s="69"/>
      <c r="U137" s="69"/>
      <c r="V137" s="69"/>
      <c r="W137" s="69"/>
      <c r="X137" s="69"/>
      <c r="Y137" s="69"/>
    </row>
    <row r="138" spans="3:27" x14ac:dyDescent="0.25">
      <c r="C138" s="78"/>
      <c r="F138" t="s">
        <v>197</v>
      </c>
      <c r="G138" t="s">
        <v>272</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v>
      </c>
      <c r="Q138" s="88">
        <f t="shared" ref="Q138" si="19">hundred*Q99*$H57*Q86/$H43*(1-Q111)/days_in_year/(1+$H29)*PowerFactor</f>
        <v>0</v>
      </c>
      <c r="R138" s="69"/>
      <c r="S138" s="69"/>
      <c r="T138" s="69"/>
      <c r="U138" s="69"/>
      <c r="V138" s="69"/>
      <c r="W138" s="69"/>
      <c r="X138" s="69"/>
      <c r="Y138" s="69"/>
    </row>
    <row r="139" spans="3:27" x14ac:dyDescent="0.25">
      <c r="C139" s="78"/>
      <c r="F139" t="s">
        <v>198</v>
      </c>
      <c r="G139" t="s">
        <v>272</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0.1258107366531856</v>
      </c>
      <c r="O139" s="88">
        <f t="shared" si="22"/>
        <v>0.62013515278484188</v>
      </c>
      <c r="P139" s="88">
        <f t="shared" si="22"/>
        <v>0</v>
      </c>
      <c r="Q139" s="88">
        <f t="shared" ref="Q139" si="23">hundred*Q100*$H58*Q87/$H44*(1-Q112)/days_in_year/(1+$H30)*PowerFactor</f>
        <v>0</v>
      </c>
      <c r="R139" s="69"/>
      <c r="S139" s="69"/>
      <c r="T139" s="69"/>
      <c r="U139" s="69"/>
      <c r="V139" s="69"/>
      <c r="W139" s="69"/>
      <c r="X139" s="69"/>
      <c r="Y139" s="69"/>
    </row>
    <row r="140" spans="3:27" x14ac:dyDescent="0.25">
      <c r="C140" s="78"/>
      <c r="F140" t="s">
        <v>199</v>
      </c>
      <c r="G140" t="s">
        <v>272</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6.7918764044200233E-2</v>
      </c>
      <c r="O140" s="88">
        <f t="shared" si="26"/>
        <v>6.6955832606900606E-2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200</v>
      </c>
      <c r="G141" t="s">
        <v>272</v>
      </c>
      <c r="J141" s="88">
        <f t="shared" ref="J141:K141" si="28">hundred*J102*$H60*J89/$H46*(1-J114)/days_in_year/(1+$H32)*PowerFactor</f>
        <v>0.16481440997718969</v>
      </c>
      <c r="K141" s="88">
        <f t="shared" si="28"/>
        <v>0.16481440997718969</v>
      </c>
      <c r="L141" s="88">
        <f t="shared" ref="L141:M141" si="29">hundred*L102*$H60*L89/$H46*(1-L114)/days_in_year/(1+$H32)*PowerFactor</f>
        <v>0.16481440997718969</v>
      </c>
      <c r="M141" s="88">
        <f t="shared" si="29"/>
        <v>0.16481440997718969</v>
      </c>
      <c r="N141" s="88">
        <f t="shared" ref="N141:P141" si="30">hundred*N102*$H60*N89/$H46*(1-N114)/days_in_year/(1+$H32)*PowerFactor</f>
        <v>0.16481440997718969</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272</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272</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190</v>
      </c>
      <c r="G146" s="19" t="s">
        <v>272</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192</v>
      </c>
      <c r="G147" t="s">
        <v>272</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193</v>
      </c>
      <c r="G148" t="s">
        <v>272</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v>
      </c>
      <c r="Q148" s="88">
        <f t="shared" ref="Q148" si="43">hundred*Q95*$H67*Q82/$H39/days_in_year/(1+$H25)*PowerFactor</f>
        <v>0</v>
      </c>
      <c r="R148" s="69"/>
      <c r="S148" s="69"/>
      <c r="T148" s="69"/>
      <c r="U148" s="69"/>
      <c r="V148" s="69"/>
      <c r="W148" s="69"/>
      <c r="X148" s="69"/>
      <c r="Y148" s="69"/>
    </row>
    <row r="149" spans="3:27" x14ac:dyDescent="0.25">
      <c r="C149" s="78"/>
      <c r="F149" t="s">
        <v>194</v>
      </c>
      <c r="G149" t="s">
        <v>272</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195</v>
      </c>
      <c r="G150" t="s">
        <v>272</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0.21986685607561057</v>
      </c>
      <c r="Q150" s="88">
        <f t="shared" ref="Q150" si="51">hundred*Q97*$H69*Q84/$H41/days_in_year/(1+$H27)*PowerFactor</f>
        <v>0</v>
      </c>
      <c r="R150" s="69"/>
      <c r="S150" s="69"/>
      <c r="T150" s="69"/>
      <c r="U150" s="69"/>
      <c r="V150" s="69"/>
      <c r="W150" s="69"/>
      <c r="X150" s="69"/>
      <c r="Y150" s="69"/>
    </row>
    <row r="151" spans="3:27" x14ac:dyDescent="0.25">
      <c r="C151" s="78"/>
      <c r="F151" t="s">
        <v>196</v>
      </c>
      <c r="G151" t="s">
        <v>272</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0.86952851346898441</v>
      </c>
      <c r="Q151" s="88">
        <f t="shared" ref="Q151" si="55">hundred*Q98*$H70*Q85/$H42/days_in_year/(1+$H28)*PowerFactor</f>
        <v>0</v>
      </c>
      <c r="R151" s="69"/>
      <c r="S151" s="69"/>
      <c r="T151" s="69"/>
      <c r="U151" s="69"/>
      <c r="V151" s="69"/>
      <c r="W151" s="69"/>
      <c r="X151" s="69"/>
      <c r="Y151" s="69"/>
    </row>
    <row r="152" spans="3:27" x14ac:dyDescent="0.25">
      <c r="C152" s="78"/>
      <c r="F152" t="s">
        <v>197</v>
      </c>
      <c r="G152" t="s">
        <v>272</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v>
      </c>
      <c r="Q152" s="88">
        <f t="shared" ref="Q152" si="59">hundred*Q99*$H71*Q86/$H43/days_in_year/(1+$H29)*PowerFactor</f>
        <v>0</v>
      </c>
      <c r="R152" s="69"/>
      <c r="S152" s="69"/>
      <c r="T152" s="69"/>
      <c r="U152" s="69"/>
      <c r="V152" s="69"/>
      <c r="W152" s="69"/>
      <c r="X152" s="69"/>
      <c r="Y152" s="69"/>
    </row>
    <row r="153" spans="3:27" x14ac:dyDescent="0.25">
      <c r="C153" s="78"/>
      <c r="F153" t="s">
        <v>198</v>
      </c>
      <c r="G153" t="s">
        <v>272</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0.5998611223540895</v>
      </c>
      <c r="O153" s="88">
        <f t="shared" si="62"/>
        <v>2.9567823753086735</v>
      </c>
      <c r="P153" s="88">
        <f t="shared" si="62"/>
        <v>2.9227637861392539</v>
      </c>
      <c r="Q153" s="88">
        <f t="shared" ref="Q153" si="63">hundred*Q100*$H72*Q87/$H44/days_in_year/(1+$H30)*PowerFactor</f>
        <v>0</v>
      </c>
      <c r="R153" s="69"/>
      <c r="S153" s="69"/>
      <c r="T153" s="69"/>
      <c r="U153" s="69"/>
      <c r="V153" s="69"/>
      <c r="W153" s="69"/>
      <c r="X153" s="69"/>
      <c r="Y153" s="69"/>
    </row>
    <row r="154" spans="3:27" x14ac:dyDescent="0.25">
      <c r="C154" s="78"/>
      <c r="F154" t="s">
        <v>199</v>
      </c>
      <c r="G154" t="s">
        <v>272</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1.2305701645712015</v>
      </c>
      <c r="O154" s="88">
        <f t="shared" si="66"/>
        <v>1.2131235176254853</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200</v>
      </c>
      <c r="G155" t="s">
        <v>272</v>
      </c>
      <c r="J155" s="88">
        <f t="shared" ref="J155:K155" si="68">hundred*J102*$H74*J89/$H46/days_in_year/(1+$H32)*PowerFactor</f>
        <v>2.9861511537127985</v>
      </c>
      <c r="K155" s="88">
        <f t="shared" si="68"/>
        <v>2.9861511537127985</v>
      </c>
      <c r="L155" s="88">
        <f t="shared" ref="L155:M155" si="69">hundred*L102*$H74*L89/$H46/days_in_year/(1+$H32)*PowerFactor</f>
        <v>2.9861511537127985</v>
      </c>
      <c r="M155" s="88">
        <f t="shared" si="69"/>
        <v>2.9861511537127985</v>
      </c>
      <c r="N155" s="88">
        <f t="shared" ref="N155:P155" si="70">hundred*N102*$H74*N89/$H46/days_in_year/(1+$H32)*PowerFactor</f>
        <v>2.9861511537127985</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272</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272</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190</v>
      </c>
      <c r="G162" s="19" t="s">
        <v>272</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192</v>
      </c>
      <c r="G163" t="s">
        <v>272</v>
      </c>
      <c r="J163" s="69"/>
      <c r="K163" s="69"/>
      <c r="L163" s="69"/>
      <c r="M163" s="69"/>
      <c r="N163" s="69"/>
      <c r="O163" s="69"/>
      <c r="P163" s="69"/>
      <c r="Q163" s="69"/>
      <c r="R163" s="69"/>
      <c r="S163" s="69"/>
      <c r="T163" s="69"/>
      <c r="U163" s="69"/>
      <c r="V163" s="69"/>
      <c r="W163" s="69"/>
      <c r="X163" s="69"/>
      <c r="Y163" s="69"/>
    </row>
    <row r="164" spans="3:25" x14ac:dyDescent="0.25">
      <c r="C164" s="78"/>
      <c r="F164" t="s">
        <v>193</v>
      </c>
      <c r="G164" t="s">
        <v>272</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v>
      </c>
      <c r="Q164" s="88">
        <f t="shared" ref="Q164" si="75">hundred*Q95*$H53*Q82/$H39/days_in_year/(1+$H25)*PowerFactor</f>
        <v>0</v>
      </c>
      <c r="R164" s="69"/>
      <c r="S164" s="69"/>
      <c r="T164" s="69"/>
      <c r="U164" s="69"/>
      <c r="V164" s="69"/>
      <c r="W164" s="69"/>
      <c r="X164" s="69"/>
      <c r="Y164" s="69"/>
    </row>
    <row r="165" spans="3:25" x14ac:dyDescent="0.25">
      <c r="C165" s="78"/>
      <c r="F165" t="s">
        <v>194</v>
      </c>
      <c r="G165" t="s">
        <v>272</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195</v>
      </c>
      <c r="G166" t="s">
        <v>272</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0.24270188809823814</v>
      </c>
      <c r="Q166" s="88">
        <f t="shared" ref="Q166" si="83">hundred*Q97*$H55*Q84/$H41/days_in_year/(1+$H27)*PowerFactor</f>
        <v>0</v>
      </c>
      <c r="R166" s="69"/>
      <c r="S166" s="69"/>
      <c r="T166" s="69"/>
      <c r="U166" s="69"/>
      <c r="V166" s="69"/>
      <c r="W166" s="69"/>
      <c r="X166" s="69"/>
      <c r="Y166" s="69"/>
    </row>
    <row r="167" spans="3:25" x14ac:dyDescent="0.25">
      <c r="C167" s="78"/>
      <c r="F167" t="s">
        <v>196</v>
      </c>
      <c r="G167" t="s">
        <v>272</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0.9598364016339187</v>
      </c>
      <c r="Q167" s="88">
        <f t="shared" ref="Q167" si="87">hundred*Q98*$H56*Q85/$H42/days_in_year/(1+$H28)*PowerFactor</f>
        <v>0</v>
      </c>
      <c r="R167" s="69"/>
      <c r="S167" s="69"/>
      <c r="T167" s="69"/>
      <c r="U167" s="69"/>
      <c r="V167" s="69"/>
      <c r="W167" s="69"/>
      <c r="X167" s="69"/>
      <c r="Y167" s="69"/>
    </row>
    <row r="168" spans="3:25" x14ac:dyDescent="0.25">
      <c r="C168" s="78"/>
      <c r="F168" t="s">
        <v>197</v>
      </c>
      <c r="G168" t="s">
        <v>272</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v>
      </c>
      <c r="Q168" s="88">
        <f t="shared" ref="Q168" si="91">hundred*Q99*$H57*Q86/$H43/days_in_year/(1+$H29)*PowerFactor</f>
        <v>0</v>
      </c>
      <c r="R168" s="69"/>
      <c r="S168" s="69"/>
      <c r="T168" s="69"/>
      <c r="U168" s="69"/>
      <c r="V168" s="69"/>
      <c r="W168" s="69"/>
      <c r="X168" s="69"/>
      <c r="Y168" s="69"/>
    </row>
    <row r="169" spans="3:25" x14ac:dyDescent="0.25">
      <c r="C169" s="78"/>
      <c r="F169" t="s">
        <v>198</v>
      </c>
      <c r="G169" t="s">
        <v>272</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0.6621617718588716</v>
      </c>
      <c r="O169" s="88">
        <f t="shared" si="94"/>
        <v>3.2638692251833787</v>
      </c>
      <c r="P169" s="88">
        <f t="shared" si="94"/>
        <v>3.2263175178945964</v>
      </c>
      <c r="Q169" s="88">
        <f t="shared" ref="Q169" si="95">hundred*Q100*$H58*Q87/$H44/days_in_year/(1+$H30)*PowerFactor</f>
        <v>0</v>
      </c>
      <c r="R169" s="69"/>
      <c r="S169" s="69"/>
      <c r="T169" s="69"/>
      <c r="U169" s="69"/>
      <c r="V169" s="69"/>
      <c r="W169" s="69"/>
      <c r="X169" s="69"/>
      <c r="Y169" s="69"/>
    </row>
    <row r="170" spans="3:25" x14ac:dyDescent="0.25">
      <c r="C170" s="78"/>
      <c r="F170" t="s">
        <v>199</v>
      </c>
      <c r="G170" t="s">
        <v>272</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1.3583752808840037</v>
      </c>
      <c r="O170" s="88">
        <f t="shared" si="98"/>
        <v>1.3391166521380111</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200</v>
      </c>
      <c r="G171" t="s">
        <v>272</v>
      </c>
      <c r="J171" s="88">
        <f t="shared" ref="J171:K171" si="100">hundred*J102*$H60*J89/$H46/days_in_year/(1+$H32)*PowerFactor</f>
        <v>3.2962881995437909</v>
      </c>
      <c r="K171" s="88">
        <f t="shared" si="100"/>
        <v>3.2962881995437909</v>
      </c>
      <c r="L171" s="88">
        <f t="shared" ref="L171:M171" si="101">hundred*L102*$H60*L89/$H46/days_in_year/(1+$H32)*PowerFactor</f>
        <v>3.2962881995437909</v>
      </c>
      <c r="M171" s="88">
        <f t="shared" si="101"/>
        <v>3.2962881995437909</v>
      </c>
      <c r="N171" s="88">
        <f t="shared" ref="N171:P171" si="102">hundred*N102*$H60*N89/$H46/days_in_year/(1+$H32)*PowerFactor</f>
        <v>3.2962881995437909</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272</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272</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190</v>
      </c>
      <c r="G176" s="19" t="s">
        <v>272</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192</v>
      </c>
      <c r="G177" t="s">
        <v>272</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193</v>
      </c>
      <c r="G178" t="s">
        <v>272</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v>
      </c>
      <c r="Q178" s="88">
        <f t="shared" ref="Q178" si="115">hundred*Q95*$H67*Q82/$H39/days_in_year/(1+$H25)*PowerFactor</f>
        <v>0</v>
      </c>
      <c r="R178" s="69"/>
      <c r="S178" s="69"/>
      <c r="T178" s="69"/>
      <c r="U178" s="69"/>
      <c r="V178" s="69"/>
      <c r="W178" s="69"/>
      <c r="X178" s="69"/>
      <c r="Y178" s="69"/>
    </row>
    <row r="179" spans="3:27" x14ac:dyDescent="0.25">
      <c r="C179" s="78"/>
      <c r="F179" t="s">
        <v>194</v>
      </c>
      <c r="G179" t="s">
        <v>272</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195</v>
      </c>
      <c r="G180" t="s">
        <v>272</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0.21986685607561057</v>
      </c>
      <c r="Q180" s="88">
        <f t="shared" ref="Q180" si="123">hundred*Q97*$H69*Q84/$H41/days_in_year/(1+$H27)*PowerFactor</f>
        <v>0</v>
      </c>
      <c r="R180" s="69"/>
      <c r="S180" s="69"/>
      <c r="T180" s="69"/>
      <c r="U180" s="69"/>
      <c r="V180" s="69"/>
      <c r="W180" s="69"/>
      <c r="X180" s="69"/>
      <c r="Y180" s="69"/>
    </row>
    <row r="181" spans="3:27" x14ac:dyDescent="0.25">
      <c r="C181" s="78"/>
      <c r="F181" t="s">
        <v>196</v>
      </c>
      <c r="G181" t="s">
        <v>272</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0.86952851346898441</v>
      </c>
      <c r="Q181" s="88">
        <f t="shared" ref="Q181" si="127">hundred*Q98*$H70*Q85/$H42/days_in_year/(1+$H28)*PowerFactor</f>
        <v>0</v>
      </c>
      <c r="R181" s="69"/>
      <c r="S181" s="69"/>
      <c r="T181" s="69"/>
      <c r="U181" s="69"/>
      <c r="V181" s="69"/>
      <c r="W181" s="69"/>
      <c r="X181" s="69"/>
      <c r="Y181" s="69"/>
    </row>
    <row r="182" spans="3:27" x14ac:dyDescent="0.25">
      <c r="C182" s="78"/>
      <c r="F182" t="s">
        <v>197</v>
      </c>
      <c r="G182" t="s">
        <v>272</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v>
      </c>
      <c r="Q182" s="88">
        <f t="shared" ref="Q182" si="131">hundred*Q99*$H71*Q86/$H43/days_in_year/(1+$H29)*PowerFactor</f>
        <v>0</v>
      </c>
      <c r="R182" s="69"/>
      <c r="S182" s="69"/>
      <c r="T182" s="69"/>
      <c r="U182" s="69"/>
      <c r="V182" s="69"/>
      <c r="W182" s="69"/>
      <c r="X182" s="69"/>
      <c r="Y182" s="69"/>
    </row>
    <row r="183" spans="3:27" x14ac:dyDescent="0.25">
      <c r="C183" s="78"/>
      <c r="F183" t="s">
        <v>198</v>
      </c>
      <c r="G183" t="s">
        <v>272</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0.5998611223540895</v>
      </c>
      <c r="O183" s="88">
        <f t="shared" si="134"/>
        <v>2.9567823753086735</v>
      </c>
      <c r="P183" s="88">
        <f t="shared" si="134"/>
        <v>2.9227637861392539</v>
      </c>
      <c r="Q183" s="88">
        <f t="shared" ref="Q183" si="135">hundred*Q100*$H72*Q87/$H44/days_in_year/(1+$H30)*PowerFactor</f>
        <v>0</v>
      </c>
      <c r="R183" s="69"/>
      <c r="S183" s="69"/>
      <c r="T183" s="69"/>
      <c r="U183" s="69"/>
      <c r="V183" s="69"/>
      <c r="W183" s="69"/>
      <c r="X183" s="69"/>
      <c r="Y183" s="69"/>
    </row>
    <row r="184" spans="3:27" x14ac:dyDescent="0.25">
      <c r="C184" s="78"/>
      <c r="F184" t="s">
        <v>199</v>
      </c>
      <c r="G184" t="s">
        <v>272</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1.2305701645712015</v>
      </c>
      <c r="O184" s="88">
        <f t="shared" si="138"/>
        <v>1.2131235176254853</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200</v>
      </c>
      <c r="G185" t="s">
        <v>272</v>
      </c>
      <c r="J185" s="88">
        <f t="shared" ref="J185:K185" si="140">hundred*J102*$H74*J89/$H46/days_in_year/(1+$H32)*PowerFactor</f>
        <v>2.9861511537127985</v>
      </c>
      <c r="K185" s="88">
        <f t="shared" si="140"/>
        <v>2.9861511537127985</v>
      </c>
      <c r="L185" s="88">
        <f t="shared" ref="L185:M185" si="141">hundred*L102*$H74*L89/$H46/days_in_year/(1+$H32)*PowerFactor</f>
        <v>2.9861511537127985</v>
      </c>
      <c r="M185" s="88">
        <f t="shared" si="141"/>
        <v>2.9861511537127985</v>
      </c>
      <c r="N185" s="88">
        <f t="shared" ref="N185:P185" si="142">hundred*N102*$H74*N89/$H46/days_in_year/(1+$H32)*PowerFactor</f>
        <v>2.9861511537127985</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272</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272</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155</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190</v>
      </c>
      <c r="G192" s="19" t="s">
        <v>272</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192</v>
      </c>
      <c r="G193" t="s">
        <v>272</v>
      </c>
      <c r="J193" s="69"/>
      <c r="K193" s="69"/>
      <c r="L193" s="69"/>
      <c r="M193" s="69"/>
      <c r="N193" s="69"/>
      <c r="O193" s="69"/>
      <c r="P193" s="69"/>
      <c r="Q193" s="69"/>
      <c r="R193" s="69"/>
      <c r="S193" s="69"/>
      <c r="T193" s="69"/>
      <c r="U193" s="69"/>
      <c r="V193" s="69"/>
      <c r="W193" s="69"/>
      <c r="X193" s="69"/>
      <c r="Y193" s="69"/>
    </row>
    <row r="194" spans="3:25" x14ac:dyDescent="0.25">
      <c r="C194" s="78"/>
      <c r="D194"/>
      <c r="F194" t="s">
        <v>193</v>
      </c>
      <c r="G194" t="s">
        <v>272</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v>
      </c>
      <c r="Q194" s="88">
        <f t="shared" ref="Q194" si="147">Q$121 * Q134</f>
        <v>0</v>
      </c>
      <c r="R194" s="69"/>
      <c r="S194" s="69"/>
      <c r="T194" s="69"/>
      <c r="U194" s="69"/>
      <c r="V194" s="69"/>
      <c r="W194" s="69"/>
      <c r="X194" s="69"/>
      <c r="Y194" s="69"/>
    </row>
    <row r="195" spans="3:25" x14ac:dyDescent="0.25">
      <c r="C195" s="78"/>
      <c r="D195"/>
      <c r="F195" t="s">
        <v>194</v>
      </c>
      <c r="G195" t="s">
        <v>272</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195</v>
      </c>
      <c r="G196" t="s">
        <v>272</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8.0091623072418586E-2</v>
      </c>
      <c r="Q196" s="88">
        <f t="shared" ref="Q196" si="155">Q$121 * Q136</f>
        <v>0</v>
      </c>
      <c r="R196" s="69"/>
      <c r="S196" s="69"/>
      <c r="T196" s="69"/>
      <c r="U196" s="69"/>
      <c r="V196" s="69"/>
      <c r="W196" s="69"/>
      <c r="X196" s="69"/>
      <c r="Y196" s="69"/>
    </row>
    <row r="197" spans="3:25" x14ac:dyDescent="0.25">
      <c r="C197" s="78"/>
      <c r="D197"/>
      <c r="F197" t="s">
        <v>196</v>
      </c>
      <c r="G197" t="s">
        <v>272</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v>
      </c>
      <c r="Q197" s="88">
        <f t="shared" ref="Q197" si="159">Q$121 * Q137</f>
        <v>0</v>
      </c>
      <c r="R197" s="69"/>
      <c r="S197" s="69"/>
      <c r="T197" s="69"/>
      <c r="U197" s="69"/>
      <c r="V197" s="69"/>
      <c r="W197" s="69"/>
      <c r="X197" s="69"/>
      <c r="Y197" s="69"/>
    </row>
    <row r="198" spans="3:25" x14ac:dyDescent="0.25">
      <c r="C198" s="78"/>
      <c r="D198"/>
      <c r="F198" t="s">
        <v>197</v>
      </c>
      <c r="G198" t="s">
        <v>272</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v>
      </c>
      <c r="Q198" s="88">
        <f t="shared" ref="Q198" si="163">Q$121 * Q138</f>
        <v>0</v>
      </c>
      <c r="R198" s="69"/>
      <c r="S198" s="69"/>
      <c r="T198" s="69"/>
      <c r="U198" s="69"/>
      <c r="V198" s="69"/>
      <c r="W198" s="69"/>
      <c r="X198" s="69"/>
      <c r="Y198" s="69"/>
    </row>
    <row r="199" spans="3:25" x14ac:dyDescent="0.25">
      <c r="C199" s="78"/>
      <c r="D199"/>
      <c r="F199" t="s">
        <v>198</v>
      </c>
      <c r="G199" t="s">
        <v>272</v>
      </c>
      <c r="J199" s="88">
        <f t="shared" ref="J199:K199" si="164">J$121 * J139</f>
        <v>0</v>
      </c>
      <c r="K199" s="88">
        <f t="shared" si="164"/>
        <v>0</v>
      </c>
      <c r="L199" s="88">
        <f t="shared" ref="L199:M199" si="165">L$121 * L139</f>
        <v>0</v>
      </c>
      <c r="M199" s="88">
        <f t="shared" si="165"/>
        <v>0</v>
      </c>
      <c r="N199" s="88">
        <f t="shared" ref="N199:P199" si="166">N$121 * N139</f>
        <v>0.1258107366531856</v>
      </c>
      <c r="O199" s="88">
        <f t="shared" si="166"/>
        <v>0.62013515278484188</v>
      </c>
      <c r="P199" s="88">
        <f t="shared" si="166"/>
        <v>0</v>
      </c>
      <c r="Q199" s="88">
        <f t="shared" ref="Q199" si="167">Q$121 * Q139</f>
        <v>0</v>
      </c>
      <c r="R199" s="69"/>
      <c r="S199" s="69"/>
      <c r="T199" s="69"/>
      <c r="U199" s="69"/>
      <c r="V199" s="69"/>
      <c r="W199" s="69"/>
      <c r="X199" s="69"/>
      <c r="Y199" s="69"/>
    </row>
    <row r="200" spans="3:25" x14ac:dyDescent="0.25">
      <c r="C200" s="78"/>
      <c r="D200"/>
      <c r="F200" t="s">
        <v>199</v>
      </c>
      <c r="G200" t="s">
        <v>272</v>
      </c>
      <c r="J200" s="88">
        <f t="shared" ref="J200:K200" si="168">J$121 * J140</f>
        <v>0</v>
      </c>
      <c r="K200" s="88">
        <f t="shared" si="168"/>
        <v>0</v>
      </c>
      <c r="L200" s="88">
        <f t="shared" ref="L200:M200" si="169">L$121 * L140</f>
        <v>0</v>
      </c>
      <c r="M200" s="88">
        <f t="shared" si="169"/>
        <v>0</v>
      </c>
      <c r="N200" s="88">
        <f t="shared" ref="N200:P200" si="170">N$121 * N140</f>
        <v>6.7918764044200233E-2</v>
      </c>
      <c r="O200" s="88">
        <f t="shared" si="170"/>
        <v>6.6955832606900606E-2</v>
      </c>
      <c r="P200" s="88">
        <f t="shared" si="170"/>
        <v>0</v>
      </c>
      <c r="Q200" s="88">
        <f t="shared" ref="Q200" si="171">Q$121 * Q140</f>
        <v>0</v>
      </c>
      <c r="R200" s="69"/>
      <c r="S200" s="69"/>
      <c r="T200" s="69"/>
      <c r="U200" s="69"/>
      <c r="V200" s="69"/>
      <c r="W200" s="69"/>
      <c r="X200" s="69"/>
      <c r="Y200" s="69"/>
    </row>
    <row r="201" spans="3:25" x14ac:dyDescent="0.25">
      <c r="C201" s="78"/>
      <c r="D201"/>
      <c r="F201" t="s">
        <v>200</v>
      </c>
      <c r="G201" t="s">
        <v>272</v>
      </c>
      <c r="J201" s="88">
        <f t="shared" ref="J201:K201" si="172">J$121 * J141</f>
        <v>0</v>
      </c>
      <c r="K201" s="88">
        <f t="shared" si="172"/>
        <v>0</v>
      </c>
      <c r="L201" s="88">
        <f t="shared" ref="L201:M201" si="173">L$121 * L141</f>
        <v>0</v>
      </c>
      <c r="M201" s="88">
        <f t="shared" si="173"/>
        <v>0</v>
      </c>
      <c r="N201" s="88">
        <f t="shared" ref="N201:P201" si="174">N$121 * N141</f>
        <v>0.16481440997718969</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272</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272</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190</v>
      </c>
      <c r="G206" s="19" t="s">
        <v>272</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192</v>
      </c>
      <c r="G207" t="s">
        <v>272</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193</v>
      </c>
      <c r="G208" t="s">
        <v>272</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v>
      </c>
      <c r="Q208" s="88">
        <f t="shared" ref="Q208" si="187">Q$121 * Q148</f>
        <v>0</v>
      </c>
      <c r="R208" s="69"/>
      <c r="S208" s="69"/>
      <c r="T208" s="69"/>
      <c r="U208" s="69"/>
      <c r="V208" s="69"/>
      <c r="W208" s="69"/>
      <c r="X208" s="69"/>
      <c r="Y208" s="69"/>
    </row>
    <row r="209" spans="3:27" x14ac:dyDescent="0.25">
      <c r="C209" s="78"/>
      <c r="D209"/>
      <c r="F209" t="s">
        <v>194</v>
      </c>
      <c r="G209" t="s">
        <v>272</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195</v>
      </c>
      <c r="G210" t="s">
        <v>272</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0.21986685607561057</v>
      </c>
      <c r="Q210" s="88">
        <f t="shared" ref="Q210" si="195">Q$121 * Q150</f>
        <v>0</v>
      </c>
      <c r="R210" s="69"/>
      <c r="S210" s="69"/>
      <c r="T210" s="69"/>
      <c r="U210" s="69"/>
      <c r="V210" s="69"/>
      <c r="W210" s="69"/>
      <c r="X210" s="69"/>
      <c r="Y210" s="69"/>
    </row>
    <row r="211" spans="3:27" x14ac:dyDescent="0.25">
      <c r="C211" s="78"/>
      <c r="D211"/>
      <c r="F211" t="s">
        <v>196</v>
      </c>
      <c r="G211" t="s">
        <v>272</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0.86952851346898441</v>
      </c>
      <c r="Q211" s="88">
        <f t="shared" ref="Q211" si="199">Q$121 * Q151</f>
        <v>0</v>
      </c>
      <c r="R211" s="69"/>
      <c r="S211" s="69"/>
      <c r="T211" s="69"/>
      <c r="U211" s="69"/>
      <c r="V211" s="69"/>
      <c r="W211" s="69"/>
      <c r="X211" s="69"/>
      <c r="Y211" s="69"/>
    </row>
    <row r="212" spans="3:27" x14ac:dyDescent="0.25">
      <c r="C212" s="78"/>
      <c r="D212"/>
      <c r="F212" t="s">
        <v>197</v>
      </c>
      <c r="G212" t="s">
        <v>272</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v>
      </c>
      <c r="Q212" s="88">
        <f t="shared" ref="Q212" si="203">Q$121 * Q152</f>
        <v>0</v>
      </c>
      <c r="R212" s="69"/>
      <c r="S212" s="69"/>
      <c r="T212" s="69"/>
      <c r="U212" s="69"/>
      <c r="V212" s="69"/>
      <c r="W212" s="69"/>
      <c r="X212" s="69"/>
      <c r="Y212" s="69"/>
    </row>
    <row r="213" spans="3:27" x14ac:dyDescent="0.25">
      <c r="C213" s="78"/>
      <c r="D213"/>
      <c r="F213" t="s">
        <v>198</v>
      </c>
      <c r="G213" t="s">
        <v>272</v>
      </c>
      <c r="J213" s="88">
        <f t="shared" ref="J213:K213" si="204">J$121 * J153</f>
        <v>0</v>
      </c>
      <c r="K213" s="88">
        <f t="shared" si="204"/>
        <v>0</v>
      </c>
      <c r="L213" s="88">
        <f t="shared" ref="L213:M213" si="205">L$121 * L153</f>
        <v>0</v>
      </c>
      <c r="M213" s="88">
        <f t="shared" si="205"/>
        <v>0</v>
      </c>
      <c r="N213" s="88">
        <f t="shared" ref="N213:P213" si="206">N$121 * N153</f>
        <v>0.5998611223540895</v>
      </c>
      <c r="O213" s="88">
        <f t="shared" si="206"/>
        <v>2.9567823753086735</v>
      </c>
      <c r="P213" s="88">
        <f t="shared" si="206"/>
        <v>2.9227637861392539</v>
      </c>
      <c r="Q213" s="88">
        <f t="shared" ref="Q213" si="207">Q$121 * Q153</f>
        <v>0</v>
      </c>
      <c r="R213" s="69"/>
      <c r="S213" s="69"/>
      <c r="T213" s="69"/>
      <c r="U213" s="69"/>
      <c r="V213" s="69"/>
      <c r="W213" s="69"/>
      <c r="X213" s="69"/>
      <c r="Y213" s="69"/>
    </row>
    <row r="214" spans="3:27" x14ac:dyDescent="0.25">
      <c r="C214" s="78"/>
      <c r="D214"/>
      <c r="F214" t="s">
        <v>199</v>
      </c>
      <c r="G214" t="s">
        <v>272</v>
      </c>
      <c r="J214" s="88">
        <f t="shared" ref="J214:K214" si="208">J$121 * J154</f>
        <v>0</v>
      </c>
      <c r="K214" s="88">
        <f t="shared" si="208"/>
        <v>0</v>
      </c>
      <c r="L214" s="88">
        <f t="shared" ref="L214:M214" si="209">L$121 * L154</f>
        <v>0</v>
      </c>
      <c r="M214" s="88">
        <f t="shared" si="209"/>
        <v>0</v>
      </c>
      <c r="N214" s="88">
        <f t="shared" ref="N214:P214" si="210">N$121 * N154</f>
        <v>1.2305701645712015</v>
      </c>
      <c r="O214" s="88">
        <f t="shared" si="210"/>
        <v>1.2131235176254853</v>
      </c>
      <c r="P214" s="88">
        <f t="shared" si="210"/>
        <v>0</v>
      </c>
      <c r="Q214" s="88">
        <f t="shared" ref="Q214" si="211">Q$121 * Q154</f>
        <v>0</v>
      </c>
      <c r="R214" s="69"/>
      <c r="S214" s="69"/>
      <c r="T214" s="69"/>
      <c r="U214" s="69"/>
      <c r="V214" s="69"/>
      <c r="W214" s="69"/>
      <c r="X214" s="69"/>
      <c r="Y214" s="69"/>
    </row>
    <row r="215" spans="3:27" x14ac:dyDescent="0.25">
      <c r="C215" s="78"/>
      <c r="D215"/>
      <c r="F215" t="s">
        <v>200</v>
      </c>
      <c r="G215" t="s">
        <v>272</v>
      </c>
      <c r="J215" s="88">
        <f t="shared" ref="J215:K215" si="212">J$121 * J155</f>
        <v>0</v>
      </c>
      <c r="K215" s="88">
        <f t="shared" si="212"/>
        <v>0</v>
      </c>
      <c r="L215" s="88">
        <f t="shared" ref="L215:M215" si="213">L$121 * L155</f>
        <v>0</v>
      </c>
      <c r="M215" s="88">
        <f t="shared" si="213"/>
        <v>0</v>
      </c>
      <c r="N215" s="88">
        <f t="shared" ref="N215:P215" si="214">N$121 * N155</f>
        <v>2.9861511537127985</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272</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272</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155</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190</v>
      </c>
      <c r="G222" s="19" t="s">
        <v>272</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192</v>
      </c>
      <c r="G223" t="s">
        <v>272</v>
      </c>
      <c r="J223" s="69"/>
      <c r="K223" s="69"/>
      <c r="L223" s="69"/>
      <c r="M223" s="69"/>
      <c r="N223" s="69"/>
      <c r="O223" s="69"/>
      <c r="P223" s="69"/>
      <c r="Q223" s="69"/>
      <c r="R223" s="69"/>
      <c r="S223" s="69"/>
      <c r="T223" s="69"/>
      <c r="U223" s="69"/>
      <c r="V223" s="69"/>
      <c r="W223" s="69"/>
      <c r="X223" s="69"/>
      <c r="Y223" s="69"/>
    </row>
    <row r="224" spans="3:27" x14ac:dyDescent="0.25">
      <c r="C224" s="78"/>
      <c r="D224"/>
      <c r="F224" t="s">
        <v>193</v>
      </c>
      <c r="G224" t="s">
        <v>272</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v>
      </c>
      <c r="Q224" s="88">
        <f t="shared" ref="Q224" si="219">Q$122 * Q164</f>
        <v>0</v>
      </c>
      <c r="R224" s="69"/>
      <c r="S224" s="69"/>
      <c r="T224" s="69"/>
      <c r="U224" s="69"/>
      <c r="V224" s="69"/>
      <c r="W224" s="69"/>
      <c r="X224" s="69"/>
      <c r="Y224" s="69"/>
    </row>
    <row r="225" spans="3:25" x14ac:dyDescent="0.25">
      <c r="C225" s="78"/>
      <c r="D225"/>
      <c r="F225" t="s">
        <v>194</v>
      </c>
      <c r="G225" t="s">
        <v>272</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195</v>
      </c>
      <c r="G226" t="s">
        <v>272</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0.24270188809823814</v>
      </c>
      <c r="Q226" s="88">
        <f t="shared" ref="Q226" si="227">Q$122 * Q166</f>
        <v>0</v>
      </c>
      <c r="R226" s="69"/>
      <c r="S226" s="69"/>
      <c r="T226" s="69"/>
      <c r="U226" s="69"/>
      <c r="V226" s="69"/>
      <c r="W226" s="69"/>
      <c r="X226" s="69"/>
      <c r="Y226" s="69"/>
    </row>
    <row r="227" spans="3:25" x14ac:dyDescent="0.25">
      <c r="C227" s="78"/>
      <c r="D227"/>
      <c r="F227" t="s">
        <v>196</v>
      </c>
      <c r="G227" t="s">
        <v>272</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0.9598364016339187</v>
      </c>
      <c r="Q227" s="88">
        <f t="shared" ref="Q227" si="231">Q$122 * Q167</f>
        <v>0</v>
      </c>
      <c r="R227" s="69"/>
      <c r="S227" s="69"/>
      <c r="T227" s="69"/>
      <c r="U227" s="69"/>
      <c r="V227" s="69"/>
      <c r="W227" s="69"/>
      <c r="X227" s="69"/>
      <c r="Y227" s="69"/>
    </row>
    <row r="228" spans="3:25" x14ac:dyDescent="0.25">
      <c r="C228" s="78"/>
      <c r="D228"/>
      <c r="F228" t="s">
        <v>197</v>
      </c>
      <c r="G228" t="s">
        <v>272</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v>
      </c>
      <c r="Q228" s="88">
        <f t="shared" ref="Q228" si="235">Q$122 * Q168</f>
        <v>0</v>
      </c>
      <c r="R228" s="69"/>
      <c r="S228" s="69"/>
      <c r="T228" s="69"/>
      <c r="U228" s="69"/>
      <c r="V228" s="69"/>
      <c r="W228" s="69"/>
      <c r="X228" s="69"/>
      <c r="Y228" s="69"/>
    </row>
    <row r="229" spans="3:25" x14ac:dyDescent="0.25">
      <c r="C229" s="78"/>
      <c r="D229"/>
      <c r="F229" t="s">
        <v>198</v>
      </c>
      <c r="G229" t="s">
        <v>272</v>
      </c>
      <c r="J229" s="88">
        <f t="shared" ref="J229:K229" si="236">J$122 * J169</f>
        <v>0</v>
      </c>
      <c r="K229" s="88">
        <f t="shared" si="236"/>
        <v>0</v>
      </c>
      <c r="L229" s="88">
        <f t="shared" ref="L229:M229" si="237">L$122 * L169</f>
        <v>0</v>
      </c>
      <c r="M229" s="88">
        <f t="shared" si="237"/>
        <v>0</v>
      </c>
      <c r="N229" s="88">
        <f t="shared" ref="N229:P229" si="238">N$122 * N169</f>
        <v>0.6621617718588716</v>
      </c>
      <c r="O229" s="88">
        <f t="shared" si="238"/>
        <v>3.2638692251833787</v>
      </c>
      <c r="P229" s="88">
        <f t="shared" si="238"/>
        <v>3.2263175178945964</v>
      </c>
      <c r="Q229" s="88">
        <f t="shared" ref="Q229" si="239">Q$122 * Q169</f>
        <v>0</v>
      </c>
      <c r="R229" s="69"/>
      <c r="S229" s="69"/>
      <c r="T229" s="69"/>
      <c r="U229" s="69"/>
      <c r="V229" s="69"/>
      <c r="W229" s="69"/>
      <c r="X229" s="69"/>
      <c r="Y229" s="69"/>
    </row>
    <row r="230" spans="3:25" x14ac:dyDescent="0.25">
      <c r="C230" s="78"/>
      <c r="D230"/>
      <c r="F230" t="s">
        <v>199</v>
      </c>
      <c r="G230" t="s">
        <v>272</v>
      </c>
      <c r="J230" s="88">
        <f t="shared" ref="J230:K230" si="240">J$122 * J170</f>
        <v>0</v>
      </c>
      <c r="K230" s="88">
        <f t="shared" si="240"/>
        <v>0</v>
      </c>
      <c r="L230" s="88">
        <f t="shared" ref="L230:M230" si="241">L$122 * L170</f>
        <v>0</v>
      </c>
      <c r="M230" s="88">
        <f t="shared" si="241"/>
        <v>0</v>
      </c>
      <c r="N230" s="88">
        <f t="shared" ref="N230:P230" si="242">N$122 * N170</f>
        <v>1.3583752808840037</v>
      </c>
      <c r="O230" s="88">
        <f t="shared" si="242"/>
        <v>1.3391166521380111</v>
      </c>
      <c r="P230" s="88">
        <f t="shared" si="242"/>
        <v>0</v>
      </c>
      <c r="Q230" s="88">
        <f t="shared" ref="Q230" si="243">Q$122 * Q170</f>
        <v>0</v>
      </c>
      <c r="R230" s="69"/>
      <c r="S230" s="69"/>
      <c r="T230" s="69"/>
      <c r="U230" s="69"/>
      <c r="V230" s="69"/>
      <c r="W230" s="69"/>
      <c r="X230" s="69"/>
      <c r="Y230" s="69"/>
    </row>
    <row r="231" spans="3:25" x14ac:dyDescent="0.25">
      <c r="C231" s="78"/>
      <c r="D231"/>
      <c r="F231" t="s">
        <v>200</v>
      </c>
      <c r="G231" t="s">
        <v>272</v>
      </c>
      <c r="J231" s="88">
        <f t="shared" ref="J231:K231" si="244">J$122 * J171</f>
        <v>0</v>
      </c>
      <c r="K231" s="88">
        <f t="shared" si="244"/>
        <v>0</v>
      </c>
      <c r="L231" s="88">
        <f t="shared" ref="L231:M231" si="245">L$122 * L171</f>
        <v>0</v>
      </c>
      <c r="M231" s="88">
        <f t="shared" si="245"/>
        <v>0</v>
      </c>
      <c r="N231" s="88">
        <f t="shared" ref="N231:P231" si="246">N$122 * N171</f>
        <v>3.2962881995437909</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272</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272</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190</v>
      </c>
      <c r="G236" s="19" t="s">
        <v>272</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192</v>
      </c>
      <c r="G237" t="s">
        <v>272</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193</v>
      </c>
      <c r="G238" t="s">
        <v>272</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v>
      </c>
      <c r="Q238" s="88">
        <f t="shared" ref="Q238" si="259">Q$122 * Q178</f>
        <v>0</v>
      </c>
      <c r="R238" s="69"/>
      <c r="S238" s="69"/>
      <c r="T238" s="69"/>
      <c r="U238" s="69"/>
      <c r="V238" s="69"/>
      <c r="W238" s="69"/>
      <c r="X238" s="69"/>
      <c r="Y238" s="69"/>
    </row>
    <row r="239" spans="3:25" x14ac:dyDescent="0.25">
      <c r="C239" s="78"/>
      <c r="D239"/>
      <c r="F239" t="s">
        <v>194</v>
      </c>
      <c r="G239" t="s">
        <v>272</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195</v>
      </c>
      <c r="G240" t="s">
        <v>272</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0.21986685607561057</v>
      </c>
      <c r="Q240" s="88">
        <f t="shared" ref="Q240" si="267">Q$122 * Q180</f>
        <v>0</v>
      </c>
      <c r="R240" s="69"/>
      <c r="S240" s="69"/>
      <c r="T240" s="69"/>
      <c r="U240" s="69"/>
      <c r="V240" s="69"/>
      <c r="W240" s="69"/>
      <c r="X240" s="69"/>
      <c r="Y240" s="69"/>
    </row>
    <row r="241" spans="2:27" x14ac:dyDescent="0.25">
      <c r="C241" s="78"/>
      <c r="D241"/>
      <c r="F241" t="s">
        <v>196</v>
      </c>
      <c r="G241" t="s">
        <v>272</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0.86952851346898441</v>
      </c>
      <c r="Q241" s="88">
        <f t="shared" ref="Q241" si="271">Q$122 * Q181</f>
        <v>0</v>
      </c>
      <c r="R241" s="69"/>
      <c r="S241" s="69"/>
      <c r="T241" s="69"/>
      <c r="U241" s="69"/>
      <c r="V241" s="69"/>
      <c r="W241" s="69"/>
      <c r="X241" s="69"/>
      <c r="Y241" s="69"/>
    </row>
    <row r="242" spans="2:27" x14ac:dyDescent="0.25">
      <c r="C242" s="78"/>
      <c r="D242"/>
      <c r="F242" t="s">
        <v>197</v>
      </c>
      <c r="G242" t="s">
        <v>272</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v>
      </c>
      <c r="Q242" s="88">
        <f t="shared" ref="Q242" si="275">Q$122 * Q182</f>
        <v>0</v>
      </c>
      <c r="R242" s="69"/>
      <c r="S242" s="69"/>
      <c r="T242" s="69"/>
      <c r="U242" s="69"/>
      <c r="V242" s="69"/>
      <c r="W242" s="69"/>
      <c r="X242" s="69"/>
      <c r="Y242" s="69"/>
    </row>
    <row r="243" spans="2:27" x14ac:dyDescent="0.25">
      <c r="C243" s="78"/>
      <c r="D243"/>
      <c r="F243" t="s">
        <v>198</v>
      </c>
      <c r="G243" t="s">
        <v>272</v>
      </c>
      <c r="J243" s="88">
        <f t="shared" ref="J243:K243" si="276">J$122 * J183</f>
        <v>0</v>
      </c>
      <c r="K243" s="88">
        <f t="shared" si="276"/>
        <v>0</v>
      </c>
      <c r="L243" s="88">
        <f t="shared" ref="L243:M243" si="277">L$122 * L183</f>
        <v>0</v>
      </c>
      <c r="M243" s="88">
        <f t="shared" si="277"/>
        <v>0</v>
      </c>
      <c r="N243" s="88">
        <f t="shared" ref="N243:P243" si="278">N$122 * N183</f>
        <v>0.5998611223540895</v>
      </c>
      <c r="O243" s="88">
        <f t="shared" si="278"/>
        <v>2.9567823753086735</v>
      </c>
      <c r="P243" s="88">
        <f t="shared" si="278"/>
        <v>2.9227637861392539</v>
      </c>
      <c r="Q243" s="88">
        <f t="shared" ref="Q243" si="279">Q$122 * Q183</f>
        <v>0</v>
      </c>
      <c r="R243" s="69"/>
      <c r="S243" s="69"/>
      <c r="T243" s="69"/>
      <c r="U243" s="69"/>
      <c r="V243" s="69"/>
      <c r="W243" s="69"/>
      <c r="X243" s="69"/>
      <c r="Y243" s="69"/>
    </row>
    <row r="244" spans="2:27" x14ac:dyDescent="0.25">
      <c r="C244" s="78"/>
      <c r="D244"/>
      <c r="F244" t="s">
        <v>199</v>
      </c>
      <c r="G244" t="s">
        <v>272</v>
      </c>
      <c r="J244" s="88">
        <f t="shared" ref="J244:K244" si="280">J$122 * J184</f>
        <v>0</v>
      </c>
      <c r="K244" s="88">
        <f t="shared" si="280"/>
        <v>0</v>
      </c>
      <c r="L244" s="88">
        <f t="shared" ref="L244:M244" si="281">L$122 * L184</f>
        <v>0</v>
      </c>
      <c r="M244" s="88">
        <f t="shared" si="281"/>
        <v>0</v>
      </c>
      <c r="N244" s="88">
        <f t="shared" ref="N244:P244" si="282">N$122 * N184</f>
        <v>1.2305701645712015</v>
      </c>
      <c r="O244" s="88">
        <f t="shared" si="282"/>
        <v>1.2131235176254853</v>
      </c>
      <c r="P244" s="88">
        <f t="shared" si="282"/>
        <v>0</v>
      </c>
      <c r="Q244" s="88">
        <f t="shared" ref="Q244" si="283">Q$122 * Q184</f>
        <v>0</v>
      </c>
      <c r="R244" s="69"/>
      <c r="S244" s="69"/>
      <c r="T244" s="69"/>
      <c r="U244" s="69"/>
      <c r="V244" s="69"/>
      <c r="W244" s="69"/>
      <c r="X244" s="69"/>
      <c r="Y244" s="69"/>
    </row>
    <row r="245" spans="2:27" x14ac:dyDescent="0.25">
      <c r="C245" s="78"/>
      <c r="D245"/>
      <c r="F245" t="s">
        <v>200</v>
      </c>
      <c r="G245" t="s">
        <v>272</v>
      </c>
      <c r="J245" s="88">
        <f t="shared" ref="J245:K245" si="284">J$122 * J185</f>
        <v>0</v>
      </c>
      <c r="K245" s="88">
        <f t="shared" si="284"/>
        <v>0</v>
      </c>
      <c r="L245" s="88">
        <f t="shared" ref="L245:M245" si="285">L$122 * L185</f>
        <v>0</v>
      </c>
      <c r="M245" s="88">
        <f t="shared" si="285"/>
        <v>0</v>
      </c>
      <c r="N245" s="88">
        <f t="shared" ref="N245:P245" si="286">N$122 * N185</f>
        <v>2.9861511537127985</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272</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272</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272</v>
      </c>
      <c r="I256" t="s">
        <v>155</v>
      </c>
      <c r="J256" s="121">
        <f t="shared" ref="J256:K256" si="288">SUM(J192:J203,J206:J217)</f>
        <v>0</v>
      </c>
      <c r="K256" s="121">
        <f t="shared" si="288"/>
        <v>0</v>
      </c>
      <c r="L256" s="121">
        <f t="shared" ref="L256:M256" si="289">SUM(L192:L203,L206:L217)</f>
        <v>0</v>
      </c>
      <c r="M256" s="121">
        <f t="shared" si="289"/>
        <v>0</v>
      </c>
      <c r="N256" s="121">
        <f t="shared" ref="N256:P256" si="290">SUM(N192:N203,N206:N217)</f>
        <v>5.1751263513126649</v>
      </c>
      <c r="O256" s="121">
        <f t="shared" si="290"/>
        <v>4.8569968783259014</v>
      </c>
      <c r="P256" s="121">
        <f t="shared" si="290"/>
        <v>4.0922507787562674</v>
      </c>
      <c r="Q256" s="121">
        <f t="shared" ref="Q256" si="291">SUM(Q192:Q203,Q206:Q217)</f>
        <v>0</v>
      </c>
      <c r="R256" s="69"/>
      <c r="S256" s="69"/>
      <c r="T256" s="69"/>
      <c r="U256" s="69"/>
      <c r="V256" s="69"/>
      <c r="W256" s="69"/>
      <c r="X256" s="69"/>
      <c r="Y256" s="69"/>
      <c r="AA256" t="s">
        <v>710</v>
      </c>
    </row>
    <row r="257" spans="3:27" x14ac:dyDescent="0.25">
      <c r="E257" t="s">
        <v>711</v>
      </c>
      <c r="G257" t="s">
        <v>272</v>
      </c>
      <c r="I257" t="s">
        <v>155</v>
      </c>
      <c r="J257" s="111">
        <f t="shared" ref="J257:K257" si="292">SUM(J222:J233,J236:J247)</f>
        <v>0</v>
      </c>
      <c r="K257" s="111">
        <f t="shared" si="292"/>
        <v>0</v>
      </c>
      <c r="L257" s="111">
        <f t="shared" ref="L257:M257" si="293">SUM(L222:L233,L236:L247)</f>
        <v>0</v>
      </c>
      <c r="M257" s="111">
        <f t="shared" si="293"/>
        <v>0</v>
      </c>
      <c r="N257" s="111">
        <f t="shared" ref="N257:P257" si="294">SUM(N222:N233,N236:N247)</f>
        <v>10.133407692924756</v>
      </c>
      <c r="O257" s="111">
        <f t="shared" si="294"/>
        <v>8.7728917702555496</v>
      </c>
      <c r="P257" s="111">
        <f t="shared" si="294"/>
        <v>8.4410149633106037</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155</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190</v>
      </c>
      <c r="G262" s="19" t="s">
        <v>272</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192</v>
      </c>
      <c r="G263" t="s">
        <v>272</v>
      </c>
      <c r="J263" s="69"/>
      <c r="K263" s="69"/>
      <c r="L263" s="69"/>
      <c r="M263" s="69"/>
      <c r="N263" s="69"/>
      <c r="O263" s="69"/>
      <c r="P263" s="69"/>
      <c r="Q263" s="69"/>
      <c r="R263" s="69"/>
      <c r="S263" s="69"/>
      <c r="T263" s="69"/>
      <c r="U263" s="69"/>
      <c r="V263" s="69"/>
      <c r="W263" s="69"/>
      <c r="X263" s="69"/>
      <c r="Y263" s="69"/>
    </row>
    <row r="264" spans="3:27" x14ac:dyDescent="0.25">
      <c r="C264" s="78"/>
      <c r="D264"/>
      <c r="F264" t="s">
        <v>193</v>
      </c>
      <c r="G264" t="s">
        <v>272</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194</v>
      </c>
      <c r="G265" t="s">
        <v>272</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195</v>
      </c>
      <c r="G266" t="s">
        <v>272</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196</v>
      </c>
      <c r="G267" t="s">
        <v>272</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197</v>
      </c>
      <c r="G268" t="s">
        <v>272</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198</v>
      </c>
      <c r="G269" t="s">
        <v>272</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199</v>
      </c>
      <c r="G270" t="s">
        <v>272</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200</v>
      </c>
      <c r="G271" t="s">
        <v>272</v>
      </c>
      <c r="J271" s="111">
        <f t="shared" ref="J271:K271" si="324">J$123 * J141</f>
        <v>0.16481440997718969</v>
      </c>
      <c r="K271" s="111">
        <f t="shared" si="324"/>
        <v>0</v>
      </c>
      <c r="L271" s="111">
        <f t="shared" ref="L271:M271" si="325">L$123 * L141</f>
        <v>0.16481440997718969</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272</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272</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190</v>
      </c>
      <c r="G276" s="19" t="s">
        <v>272</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192</v>
      </c>
      <c r="G277" t="s">
        <v>272</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193</v>
      </c>
      <c r="G278" t="s">
        <v>272</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194</v>
      </c>
      <c r="G279" t="s">
        <v>272</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195</v>
      </c>
      <c r="G280" t="s">
        <v>272</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196</v>
      </c>
      <c r="G281" t="s">
        <v>272</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197</v>
      </c>
      <c r="G282" t="s">
        <v>272</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198</v>
      </c>
      <c r="G283" t="s">
        <v>272</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199</v>
      </c>
      <c r="G284" t="s">
        <v>272</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200</v>
      </c>
      <c r="G285" t="s">
        <v>272</v>
      </c>
      <c r="J285" s="111">
        <f t="shared" ref="J285:K285" si="364">J$123 * J155</f>
        <v>2.9861511537127985</v>
      </c>
      <c r="K285" s="111">
        <f t="shared" si="364"/>
        <v>0</v>
      </c>
      <c r="L285" s="111">
        <f t="shared" ref="L285:M285" si="365">L$123 * L155</f>
        <v>2.9861511537127985</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272</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272</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232</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233</v>
      </c>
      <c r="G291" s="6" t="s">
        <v>56</v>
      </c>
      <c r="H291" s="177">
        <f t="array" ref="H291">SUM(IF(ISERROR(H51:Y287), 1))</f>
        <v>0</v>
      </c>
    </row>
    <row r="293" spans="2:27" x14ac:dyDescent="0.25">
      <c r="E293" t="s">
        <v>714</v>
      </c>
      <c r="G293" s="6" t="s">
        <v>56</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240</v>
      </c>
      <c r="G295" s="6" t="s">
        <v>56</v>
      </c>
      <c r="H295" s="93">
        <f>H291 + H293</f>
        <v>0</v>
      </c>
    </row>
    <row r="297" spans="2:27" x14ac:dyDescent="0.25">
      <c r="B297" s="25" t="s">
        <v>107</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286</v>
      </c>
    </row>
    <row r="20" spans="3:27" x14ac:dyDescent="0.25">
      <c r="D20" s="24" t="s">
        <v>665</v>
      </c>
      <c r="E20"/>
    </row>
    <row r="21" spans="3:27" x14ac:dyDescent="0.25">
      <c r="C21" s="78"/>
      <c r="E21" s="19" t="s">
        <v>190</v>
      </c>
      <c r="F21" s="19"/>
      <c r="G21" s="19" t="s">
        <v>666</v>
      </c>
      <c r="H21" s="73"/>
    </row>
    <row r="22" spans="3:27" x14ac:dyDescent="0.25">
      <c r="C22" s="78"/>
      <c r="E22" t="s">
        <v>192</v>
      </c>
      <c r="G22" t="s">
        <v>666</v>
      </c>
      <c r="H22" s="110">
        <f t="array" ref="H22:H30">TRANSPOSE('Inputs by network level'!K21:S21)</f>
        <v>0.15154442262927451</v>
      </c>
    </row>
    <row r="23" spans="3:27" x14ac:dyDescent="0.25">
      <c r="C23" s="78"/>
      <c r="E23" t="s">
        <v>193</v>
      </c>
      <c r="G23" t="s">
        <v>666</v>
      </c>
      <c r="H23" s="110">
        <v>0.15154442262927451</v>
      </c>
    </row>
    <row r="24" spans="3:27" x14ac:dyDescent="0.25">
      <c r="C24" s="78"/>
      <c r="E24" t="s">
        <v>194</v>
      </c>
      <c r="G24" t="s">
        <v>666</v>
      </c>
      <c r="H24" s="110">
        <v>0.15154442262927451</v>
      </c>
    </row>
    <row r="25" spans="3:27" x14ac:dyDescent="0.25">
      <c r="C25" s="78"/>
      <c r="E25" t="s">
        <v>195</v>
      </c>
      <c r="G25" t="s">
        <v>666</v>
      </c>
      <c r="H25" s="110">
        <v>0.15154442262927451</v>
      </c>
    </row>
    <row r="26" spans="3:27" x14ac:dyDescent="0.25">
      <c r="C26" s="78"/>
      <c r="E26" t="s">
        <v>196</v>
      </c>
      <c r="G26" t="s">
        <v>666</v>
      </c>
      <c r="H26" s="110">
        <v>0.15154442262927451</v>
      </c>
    </row>
    <row r="27" spans="3:27" x14ac:dyDescent="0.25">
      <c r="C27" s="78"/>
      <c r="E27" t="s">
        <v>197</v>
      </c>
      <c r="G27" t="s">
        <v>666</v>
      </c>
      <c r="H27" s="110">
        <v>0.15154442262927451</v>
      </c>
    </row>
    <row r="28" spans="3:27" x14ac:dyDescent="0.25">
      <c r="C28" s="78"/>
      <c r="E28" t="s">
        <v>198</v>
      </c>
      <c r="G28" t="s">
        <v>666</v>
      </c>
      <c r="H28" s="110">
        <v>0.15154442262927451</v>
      </c>
    </row>
    <row r="29" spans="3:27" x14ac:dyDescent="0.25">
      <c r="C29" s="78"/>
      <c r="E29" t="s">
        <v>199</v>
      </c>
      <c r="G29" t="s">
        <v>666</v>
      </c>
      <c r="H29" s="110">
        <v>0.15154442262927451</v>
      </c>
    </row>
    <row r="30" spans="3:27" x14ac:dyDescent="0.25">
      <c r="C30" s="78"/>
      <c r="E30" t="s">
        <v>200</v>
      </c>
      <c r="G30" t="s">
        <v>666</v>
      </c>
      <c r="H30" s="110">
        <v>0.15154442262927451</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190</v>
      </c>
      <c r="F35" s="19"/>
      <c r="G35" s="54" t="s">
        <v>284</v>
      </c>
      <c r="H35" s="114">
        <f t="array" ref="H35:H44">TRANSPOSE('Load &amp; loss characteristics'!J29:S29)</f>
        <v>1</v>
      </c>
    </row>
    <row r="36" spans="3:8" x14ac:dyDescent="0.25">
      <c r="C36" s="78"/>
      <c r="E36" t="s">
        <v>192</v>
      </c>
      <c r="G36" s="23" t="s">
        <v>284</v>
      </c>
      <c r="H36" s="110">
        <v>1</v>
      </c>
    </row>
    <row r="37" spans="3:8" x14ac:dyDescent="0.25">
      <c r="C37" s="78"/>
      <c r="E37" t="s">
        <v>193</v>
      </c>
      <c r="G37" s="23" t="s">
        <v>284</v>
      </c>
      <c r="H37" s="110">
        <v>1</v>
      </c>
    </row>
    <row r="38" spans="3:8" x14ac:dyDescent="0.25">
      <c r="C38" s="78"/>
      <c r="E38" t="s">
        <v>194</v>
      </c>
      <c r="G38" s="23" t="s">
        <v>284</v>
      </c>
      <c r="H38" s="110">
        <v>1.004</v>
      </c>
    </row>
    <row r="39" spans="3:8" x14ac:dyDescent="0.25">
      <c r="C39" s="78"/>
      <c r="E39" t="s">
        <v>195</v>
      </c>
      <c r="G39" s="23" t="s">
        <v>284</v>
      </c>
      <c r="H39" s="110">
        <v>1.01</v>
      </c>
    </row>
    <row r="40" spans="3:8" x14ac:dyDescent="0.25">
      <c r="C40" s="78"/>
      <c r="E40" t="s">
        <v>196</v>
      </c>
      <c r="G40" s="23" t="s">
        <v>284</v>
      </c>
      <c r="H40" s="110">
        <v>1.014</v>
      </c>
    </row>
    <row r="41" spans="3:8" x14ac:dyDescent="0.25">
      <c r="C41" s="78"/>
      <c r="E41" t="s">
        <v>197</v>
      </c>
      <c r="G41" s="23" t="s">
        <v>284</v>
      </c>
      <c r="H41" s="110">
        <v>1.014</v>
      </c>
    </row>
    <row r="42" spans="3:8" x14ac:dyDescent="0.25">
      <c r="C42" s="78"/>
      <c r="E42" t="s">
        <v>198</v>
      </c>
      <c r="G42" s="23" t="s">
        <v>284</v>
      </c>
      <c r="H42" s="110">
        <v>1.0309999999999999</v>
      </c>
    </row>
    <row r="43" spans="3:8" x14ac:dyDescent="0.25">
      <c r="C43" s="78"/>
      <c r="E43" t="s">
        <v>199</v>
      </c>
      <c r="G43" s="23" t="s">
        <v>284</v>
      </c>
      <c r="H43" s="110">
        <v>1.0429999999999999</v>
      </c>
    </row>
    <row r="44" spans="3:8" x14ac:dyDescent="0.25">
      <c r="C44" s="78"/>
      <c r="E44" t="s">
        <v>200</v>
      </c>
      <c r="G44" s="23" t="s">
        <v>284</v>
      </c>
      <c r="H44" s="110">
        <v>1.0580000000000001</v>
      </c>
    </row>
    <row r="45" spans="3:8" x14ac:dyDescent="0.25">
      <c r="C45" s="78"/>
      <c r="E45" t="s">
        <v>375</v>
      </c>
      <c r="G45" s="23" t="s">
        <v>284</v>
      </c>
      <c r="H45" s="69"/>
    </row>
    <row r="46" spans="3:8" x14ac:dyDescent="0.25">
      <c r="C46" s="78"/>
      <c r="E46" s="28" t="s">
        <v>376</v>
      </c>
      <c r="F46" s="28"/>
      <c r="G46" s="57" t="s">
        <v>284</v>
      </c>
      <c r="H46" s="71"/>
    </row>
    <row r="47" spans="3:8" x14ac:dyDescent="0.25">
      <c r="C47" s="78"/>
      <c r="H47" s="79"/>
    </row>
    <row r="48" spans="3:8" x14ac:dyDescent="0.25">
      <c r="D48" s="27" t="s">
        <v>667</v>
      </c>
      <c r="H48" s="79"/>
    </row>
    <row r="49" spans="3:8" x14ac:dyDescent="0.25">
      <c r="C49" s="78"/>
      <c r="E49" s="19" t="s">
        <v>190</v>
      </c>
      <c r="F49" s="19"/>
      <c r="G49" s="19" t="s">
        <v>584</v>
      </c>
      <c r="H49" s="73"/>
    </row>
    <row r="50" spans="3:8" x14ac:dyDescent="0.25">
      <c r="C50" s="78"/>
      <c r="E50" t="s">
        <v>192</v>
      </c>
      <c r="G50" t="s">
        <v>584</v>
      </c>
      <c r="H50" s="69"/>
    </row>
    <row r="51" spans="3:8" x14ac:dyDescent="0.25">
      <c r="C51" s="78"/>
      <c r="E51" t="s">
        <v>193</v>
      </c>
      <c r="G51" t="s">
        <v>584</v>
      </c>
      <c r="H51" s="110">
        <f t="array" ref="H51:H58">TRANSPOSE('Unit costs'!L114:S114)</f>
        <v>11.183385892036013</v>
      </c>
    </row>
    <row r="52" spans="3:8" x14ac:dyDescent="0.25">
      <c r="C52" s="78"/>
      <c r="E52" t="s">
        <v>194</v>
      </c>
      <c r="G52" t="s">
        <v>584</v>
      </c>
      <c r="H52" s="110">
        <v>1.608332425094211</v>
      </c>
    </row>
    <row r="53" spans="3:8" x14ac:dyDescent="0.25">
      <c r="C53" s="78"/>
      <c r="E53" t="s">
        <v>195</v>
      </c>
      <c r="G53" t="s">
        <v>584</v>
      </c>
      <c r="H53" s="110">
        <v>5.1736036254338442</v>
      </c>
    </row>
    <row r="54" spans="3:8" x14ac:dyDescent="0.25">
      <c r="C54" s="78"/>
      <c r="E54" t="s">
        <v>196</v>
      </c>
      <c r="G54" t="s">
        <v>584</v>
      </c>
      <c r="H54" s="110">
        <v>4.1083155247503251</v>
      </c>
    </row>
    <row r="55" spans="3:8" x14ac:dyDescent="0.25">
      <c r="C55" s="78"/>
      <c r="E55" t="s">
        <v>197</v>
      </c>
      <c r="G55" t="s">
        <v>584</v>
      </c>
      <c r="H55" s="110">
        <v>0</v>
      </c>
    </row>
    <row r="56" spans="3:8" x14ac:dyDescent="0.25">
      <c r="C56" s="78"/>
      <c r="E56" t="s">
        <v>198</v>
      </c>
      <c r="G56" t="s">
        <v>584</v>
      </c>
      <c r="H56" s="110">
        <v>19.236008392745688</v>
      </c>
    </row>
    <row r="57" spans="3:8" x14ac:dyDescent="0.25">
      <c r="C57" s="78"/>
      <c r="E57" t="s">
        <v>199</v>
      </c>
      <c r="G57" t="s">
        <v>584</v>
      </c>
      <c r="H57" s="110">
        <v>7.9841054132210934</v>
      </c>
    </row>
    <row r="58" spans="3:8" x14ac:dyDescent="0.25">
      <c r="C58" s="78"/>
      <c r="E58" t="s">
        <v>200</v>
      </c>
      <c r="G58" t="s">
        <v>584</v>
      </c>
      <c r="H58" s="110">
        <v>19.986579311127922</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190</v>
      </c>
      <c r="F63" s="19"/>
      <c r="G63" s="19" t="s">
        <v>584</v>
      </c>
      <c r="H63" s="114">
        <f t="array" ref="H63:H72">TRANSPOSE('Unit costs'!J115:S115)</f>
        <v>3.5639517620587906</v>
      </c>
    </row>
    <row r="64" spans="3:8" x14ac:dyDescent="0.25">
      <c r="C64" s="78"/>
      <c r="E64" t="s">
        <v>192</v>
      </c>
      <c r="G64" t="s">
        <v>584</v>
      </c>
      <c r="H64" s="110">
        <v>0</v>
      </c>
    </row>
    <row r="65" spans="3:42" x14ac:dyDescent="0.25">
      <c r="C65" s="78"/>
      <c r="E65" t="s">
        <v>193</v>
      </c>
      <c r="G65" t="s">
        <v>584</v>
      </c>
      <c r="H65" s="110">
        <v>10.131177452426856</v>
      </c>
    </row>
    <row r="66" spans="3:42" x14ac:dyDescent="0.25">
      <c r="C66" s="78"/>
      <c r="E66" t="s">
        <v>194</v>
      </c>
      <c r="G66" t="s">
        <v>584</v>
      </c>
      <c r="H66" s="110">
        <v>1.4570096532862273</v>
      </c>
    </row>
    <row r="67" spans="3:42" x14ac:dyDescent="0.25">
      <c r="C67" s="78"/>
      <c r="E67" t="s">
        <v>195</v>
      </c>
      <c r="G67" t="s">
        <v>584</v>
      </c>
      <c r="H67" s="110">
        <v>4.6868360712756143</v>
      </c>
    </row>
    <row r="68" spans="3:42" x14ac:dyDescent="0.25">
      <c r="C68" s="78"/>
      <c r="E68" t="s">
        <v>196</v>
      </c>
      <c r="G68" t="s">
        <v>584</v>
      </c>
      <c r="H68" s="110">
        <v>3.7217774664688879</v>
      </c>
    </row>
    <row r="69" spans="3:42" x14ac:dyDescent="0.25">
      <c r="C69" s="78"/>
      <c r="E69" t="s">
        <v>197</v>
      </c>
      <c r="G69" t="s">
        <v>584</v>
      </c>
      <c r="H69" s="110">
        <v>0</v>
      </c>
    </row>
    <row r="70" spans="3:42" x14ac:dyDescent="0.25">
      <c r="C70" s="78"/>
      <c r="E70" t="s">
        <v>198</v>
      </c>
      <c r="G70" t="s">
        <v>584</v>
      </c>
      <c r="H70" s="110">
        <v>17.426154868004733</v>
      </c>
    </row>
    <row r="71" spans="3:42" x14ac:dyDescent="0.25">
      <c r="C71" s="78"/>
      <c r="E71" t="s">
        <v>199</v>
      </c>
      <c r="G71" t="s">
        <v>584</v>
      </c>
      <c r="H71" s="110">
        <v>7.2329068782136474</v>
      </c>
    </row>
    <row r="72" spans="3:42" x14ac:dyDescent="0.25">
      <c r="C72" s="78"/>
      <c r="E72" t="s">
        <v>200</v>
      </c>
      <c r="G72" t="s">
        <v>584</v>
      </c>
      <c r="H72" s="110">
        <v>18.106107007559945</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155</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224</v>
      </c>
    </row>
    <row r="79" spans="3:42" x14ac:dyDescent="0.25">
      <c r="C79" s="78"/>
    </row>
    <row r="80" spans="3:42" x14ac:dyDescent="0.25">
      <c r="D80" s="27" t="s">
        <v>121</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192</v>
      </c>
      <c r="F81" s="19"/>
      <c r="G81" s="19" t="s">
        <v>168</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193</v>
      </c>
      <c r="G82" t="s">
        <v>168</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194</v>
      </c>
      <c r="G83" t="s">
        <v>168</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195</v>
      </c>
      <c r="G84" t="s">
        <v>168</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196</v>
      </c>
      <c r="G85" t="s">
        <v>168</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197</v>
      </c>
      <c r="G86" t="s">
        <v>168</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198</v>
      </c>
      <c r="G87" t="s">
        <v>168</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199</v>
      </c>
      <c r="G88" t="s">
        <v>168</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200</v>
      </c>
      <c r="F89" s="28"/>
      <c r="G89" s="28" t="s">
        <v>168</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155</v>
      </c>
      <c r="AA91" t="s">
        <v>673</v>
      </c>
    </row>
    <row r="92" spans="3:42" x14ac:dyDescent="0.25">
      <c r="D92" s="24" t="s">
        <v>400</v>
      </c>
      <c r="E92"/>
      <c r="AA92" s="194"/>
    </row>
    <row r="93" spans="3:42" x14ac:dyDescent="0.25">
      <c r="D93"/>
      <c r="E93" s="19" t="s">
        <v>190</v>
      </c>
      <c r="F93" s="19"/>
      <c r="G93" s="54" t="s">
        <v>284</v>
      </c>
      <c r="H93" s="19"/>
      <c r="I93" s="19"/>
      <c r="J93" s="73"/>
      <c r="K93" s="73"/>
      <c r="L93" s="73"/>
      <c r="M93" s="73"/>
      <c r="N93" s="73"/>
      <c r="O93" s="73"/>
      <c r="P93" s="73"/>
      <c r="Q93" s="73"/>
      <c r="R93" s="114">
        <f t="array" ref="R93:Y102">TRANSPOSE('Load &amp; loss characteristics'!J172:S179)</f>
        <v>-1.0580000000000001</v>
      </c>
      <c r="S93" s="114">
        <v>-1.0429999999999999</v>
      </c>
      <c r="T93" s="114">
        <v>-1.0580000000000001</v>
      </c>
      <c r="U93" s="114">
        <v>-1.0580000000000001</v>
      </c>
      <c r="V93" s="114">
        <v>-1.0429999999999999</v>
      </c>
      <c r="W93" s="114">
        <v>-1.0429999999999999</v>
      </c>
      <c r="X93" s="114">
        <v>-1.0309999999999999</v>
      </c>
      <c r="Y93" s="114">
        <v>-1.0309999999999999</v>
      </c>
    </row>
    <row r="94" spans="3:42" x14ac:dyDescent="0.25">
      <c r="D94"/>
      <c r="E94" t="s">
        <v>192</v>
      </c>
      <c r="G94" s="23" t="s">
        <v>284</v>
      </c>
      <c r="J94" s="69"/>
      <c r="K94" s="69"/>
      <c r="L94" s="69"/>
      <c r="M94" s="69"/>
      <c r="N94" s="69"/>
      <c r="O94" s="69"/>
      <c r="P94" s="69"/>
      <c r="Q94" s="69"/>
      <c r="R94" s="110">
        <v>-1.0580000000000001</v>
      </c>
      <c r="S94" s="110">
        <v>-1.0429999999999999</v>
      </c>
      <c r="T94" s="110">
        <v>-1.0580000000000001</v>
      </c>
      <c r="U94" s="110">
        <v>-1.0580000000000001</v>
      </c>
      <c r="V94" s="110">
        <v>-1.0429999999999999</v>
      </c>
      <c r="W94" s="110">
        <v>-1.0429999999999999</v>
      </c>
      <c r="X94" s="110">
        <v>-1.0309999999999999</v>
      </c>
      <c r="Y94" s="110">
        <v>-1.0309999999999999</v>
      </c>
    </row>
    <row r="95" spans="3:42" x14ac:dyDescent="0.25">
      <c r="D95"/>
      <c r="E95" t="s">
        <v>193</v>
      </c>
      <c r="G95" s="23" t="s">
        <v>284</v>
      </c>
      <c r="J95" s="69"/>
      <c r="K95" s="69"/>
      <c r="L95" s="69"/>
      <c r="M95" s="69"/>
      <c r="N95" s="69"/>
      <c r="O95" s="69"/>
      <c r="P95" s="69"/>
      <c r="Q95" s="69"/>
      <c r="R95" s="110">
        <v>-1.0580000000000001</v>
      </c>
      <c r="S95" s="110">
        <v>-1.0429999999999999</v>
      </c>
      <c r="T95" s="110">
        <v>-1.0580000000000001</v>
      </c>
      <c r="U95" s="110">
        <v>-1.0580000000000001</v>
      </c>
      <c r="V95" s="110">
        <v>-1.0429999999999999</v>
      </c>
      <c r="W95" s="110">
        <v>-1.0429999999999999</v>
      </c>
      <c r="X95" s="110">
        <v>-1.0309999999999999</v>
      </c>
      <c r="Y95" s="110">
        <v>-1.0309999999999999</v>
      </c>
    </row>
    <row r="96" spans="3:42" x14ac:dyDescent="0.25">
      <c r="D96"/>
      <c r="E96" t="s">
        <v>194</v>
      </c>
      <c r="G96" s="23" t="s">
        <v>284</v>
      </c>
      <c r="J96" s="69"/>
      <c r="K96" s="69"/>
      <c r="L96" s="69"/>
      <c r="M96" s="69"/>
      <c r="N96" s="69"/>
      <c r="O96" s="69"/>
      <c r="P96" s="69"/>
      <c r="Q96" s="69"/>
      <c r="R96" s="110">
        <v>-1.0580000000000001</v>
      </c>
      <c r="S96" s="110">
        <v>-1.0429999999999999</v>
      </c>
      <c r="T96" s="110">
        <v>-1.0580000000000001</v>
      </c>
      <c r="U96" s="110">
        <v>-1.0580000000000001</v>
      </c>
      <c r="V96" s="110">
        <v>-1.0429999999999999</v>
      </c>
      <c r="W96" s="110">
        <v>-1.0429999999999999</v>
      </c>
      <c r="X96" s="110">
        <v>-1.0309999999999999</v>
      </c>
      <c r="Y96" s="110">
        <v>-1.0309999999999999</v>
      </c>
    </row>
    <row r="97" spans="3:25" x14ac:dyDescent="0.25">
      <c r="D97"/>
      <c r="E97" t="s">
        <v>195</v>
      </c>
      <c r="G97" s="23" t="s">
        <v>284</v>
      </c>
      <c r="J97" s="69"/>
      <c r="K97" s="69"/>
      <c r="L97" s="69"/>
      <c r="M97" s="69"/>
      <c r="N97" s="69"/>
      <c r="O97" s="69"/>
      <c r="P97" s="69"/>
      <c r="Q97" s="69"/>
      <c r="R97" s="110">
        <v>-1.0580000000000001</v>
      </c>
      <c r="S97" s="110">
        <v>-1.0429999999999999</v>
      </c>
      <c r="T97" s="110">
        <v>-1.0580000000000001</v>
      </c>
      <c r="U97" s="110">
        <v>-1.0580000000000001</v>
      </c>
      <c r="V97" s="110">
        <v>-1.0429999999999999</v>
      </c>
      <c r="W97" s="110">
        <v>-1.0429999999999999</v>
      </c>
      <c r="X97" s="110">
        <v>-1.0309999999999999</v>
      </c>
      <c r="Y97" s="110">
        <v>-1.0309999999999999</v>
      </c>
    </row>
    <row r="98" spans="3:25" x14ac:dyDescent="0.25">
      <c r="D98"/>
      <c r="E98" t="s">
        <v>196</v>
      </c>
      <c r="G98" s="23" t="s">
        <v>284</v>
      </c>
      <c r="J98" s="69"/>
      <c r="K98" s="69"/>
      <c r="L98" s="69"/>
      <c r="M98" s="69"/>
      <c r="N98" s="69"/>
      <c r="O98" s="69"/>
      <c r="P98" s="69"/>
      <c r="Q98" s="69"/>
      <c r="R98" s="110">
        <v>-1.0580000000000001</v>
      </c>
      <c r="S98" s="110">
        <v>-1.0429999999999999</v>
      </c>
      <c r="T98" s="110">
        <v>-1.0580000000000001</v>
      </c>
      <c r="U98" s="110">
        <v>-1.0580000000000001</v>
      </c>
      <c r="V98" s="110">
        <v>-1.0429999999999999</v>
      </c>
      <c r="W98" s="110">
        <v>-1.0429999999999999</v>
      </c>
      <c r="X98" s="110">
        <v>-1.0309999999999999</v>
      </c>
      <c r="Y98" s="110">
        <v>-1.0309999999999999</v>
      </c>
    </row>
    <row r="99" spans="3:25" x14ac:dyDescent="0.25">
      <c r="D99"/>
      <c r="E99" t="s">
        <v>197</v>
      </c>
      <c r="G99" s="23" t="s">
        <v>284</v>
      </c>
      <c r="J99" s="69"/>
      <c r="K99" s="69"/>
      <c r="L99" s="69"/>
      <c r="M99" s="69"/>
      <c r="N99" s="69"/>
      <c r="O99" s="69"/>
      <c r="P99" s="69"/>
      <c r="Q99" s="69"/>
      <c r="R99" s="110">
        <v>0</v>
      </c>
      <c r="S99" s="110">
        <v>0</v>
      </c>
      <c r="T99" s="110">
        <v>0</v>
      </c>
      <c r="U99" s="110">
        <v>0</v>
      </c>
      <c r="V99" s="110">
        <v>0</v>
      </c>
      <c r="W99" s="110">
        <v>0</v>
      </c>
      <c r="X99" s="110">
        <v>0</v>
      </c>
      <c r="Y99" s="110">
        <v>0</v>
      </c>
    </row>
    <row r="100" spans="3:25" x14ac:dyDescent="0.25">
      <c r="D100"/>
      <c r="E100" t="s">
        <v>198</v>
      </c>
      <c r="G100" s="23" t="s">
        <v>284</v>
      </c>
      <c r="J100" s="69"/>
      <c r="K100" s="69"/>
      <c r="L100" s="69"/>
      <c r="M100" s="69"/>
      <c r="N100" s="69"/>
      <c r="O100" s="69"/>
      <c r="P100" s="69"/>
      <c r="Q100" s="69"/>
      <c r="R100" s="110">
        <v>-1.0580000000000001</v>
      </c>
      <c r="S100" s="110">
        <v>-1.0429999999999999</v>
      </c>
      <c r="T100" s="110">
        <v>-1.0580000000000001</v>
      </c>
      <c r="U100" s="110">
        <v>-1.0580000000000001</v>
      </c>
      <c r="V100" s="110">
        <v>-1.0429999999999999</v>
      </c>
      <c r="W100" s="110">
        <v>-1.0429999999999999</v>
      </c>
      <c r="X100" s="110">
        <v>-1.0309999999999999</v>
      </c>
      <c r="Y100" s="110">
        <v>-1.0309999999999999</v>
      </c>
    </row>
    <row r="101" spans="3:25" x14ac:dyDescent="0.25">
      <c r="D101"/>
      <c r="E101" t="s">
        <v>199</v>
      </c>
      <c r="G101" s="23" t="s">
        <v>284</v>
      </c>
      <c r="J101" s="69"/>
      <c r="K101" s="69"/>
      <c r="L101" s="69"/>
      <c r="M101" s="69"/>
      <c r="N101" s="69"/>
      <c r="O101" s="69"/>
      <c r="P101" s="69"/>
      <c r="Q101" s="69"/>
      <c r="R101" s="110">
        <v>-1.0580000000000001</v>
      </c>
      <c r="S101" s="110">
        <v>-1.0429999999999999</v>
      </c>
      <c r="T101" s="110">
        <v>-1.0580000000000001</v>
      </c>
      <c r="U101" s="110">
        <v>-1.0580000000000001</v>
      </c>
      <c r="V101" s="110">
        <v>-1.0429999999999999</v>
      </c>
      <c r="W101" s="110">
        <v>-1.0429999999999999</v>
      </c>
      <c r="X101" s="110">
        <v>0</v>
      </c>
      <c r="Y101" s="110">
        <v>0</v>
      </c>
    </row>
    <row r="102" spans="3:25" x14ac:dyDescent="0.25">
      <c r="D102"/>
      <c r="E102" t="s">
        <v>200</v>
      </c>
      <c r="G102" s="23" t="s">
        <v>284</v>
      </c>
      <c r="J102" s="69"/>
      <c r="K102" s="69"/>
      <c r="L102" s="69"/>
      <c r="M102" s="69"/>
      <c r="N102" s="69"/>
      <c r="O102" s="69"/>
      <c r="P102" s="69"/>
      <c r="Q102" s="69"/>
      <c r="R102" s="110">
        <v>-1.0580000000000001</v>
      </c>
      <c r="S102" s="110">
        <v>0</v>
      </c>
      <c r="T102" s="110">
        <v>-1.0580000000000001</v>
      </c>
      <c r="U102" s="110">
        <v>-1.0580000000000001</v>
      </c>
      <c r="V102" s="110">
        <v>0</v>
      </c>
      <c r="W102" s="110">
        <v>0</v>
      </c>
      <c r="X102" s="110">
        <v>0</v>
      </c>
      <c r="Y102" s="110">
        <v>0</v>
      </c>
    </row>
    <row r="103" spans="3:25" x14ac:dyDescent="0.25">
      <c r="D103"/>
      <c r="E103" t="s">
        <v>375</v>
      </c>
      <c r="G103" s="23" t="s">
        <v>284</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284</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190</v>
      </c>
      <c r="F107" s="19"/>
      <c r="G107" s="19" t="s">
        <v>168</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192</v>
      </c>
      <c r="G108" t="s">
        <v>168</v>
      </c>
      <c r="J108" s="56"/>
      <c r="K108" s="56"/>
      <c r="L108" s="56"/>
      <c r="M108" s="56"/>
      <c r="N108" s="56"/>
      <c r="O108" s="56"/>
      <c r="P108" s="56"/>
      <c r="Q108" s="56"/>
      <c r="R108" s="56"/>
      <c r="S108" s="56"/>
      <c r="T108" s="56"/>
      <c r="U108" s="56"/>
      <c r="V108" s="56"/>
      <c r="W108" s="56"/>
      <c r="X108" s="56"/>
      <c r="Y108" s="56"/>
    </row>
    <row r="109" spans="3:25" x14ac:dyDescent="0.25">
      <c r="C109" s="78"/>
      <c r="E109" t="s">
        <v>193</v>
      </c>
      <c r="G109" t="s">
        <v>168</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194</v>
      </c>
      <c r="G110" t="s">
        <v>168</v>
      </c>
      <c r="J110" s="21">
        <v>0</v>
      </c>
      <c r="K110" s="21">
        <v>0</v>
      </c>
      <c r="L110" s="21">
        <v>0</v>
      </c>
      <c r="M110" s="21">
        <v>0</v>
      </c>
      <c r="N110" s="21">
        <v>0</v>
      </c>
      <c r="O110" s="21">
        <v>0</v>
      </c>
      <c r="P110" s="21">
        <v>0.67</v>
      </c>
      <c r="Q110" s="21">
        <v>0</v>
      </c>
      <c r="R110" s="21">
        <v>0</v>
      </c>
      <c r="S110" s="21">
        <v>0</v>
      </c>
      <c r="T110" s="21">
        <v>0</v>
      </c>
      <c r="U110" s="21">
        <v>0</v>
      </c>
      <c r="V110" s="21">
        <v>0</v>
      </c>
      <c r="W110" s="21">
        <v>0</v>
      </c>
      <c r="X110" s="21">
        <v>0.67</v>
      </c>
      <c r="Y110" s="21">
        <v>0.67</v>
      </c>
    </row>
    <row r="111" spans="3:25" x14ac:dyDescent="0.25">
      <c r="C111" s="78"/>
      <c r="E111" t="s">
        <v>195</v>
      </c>
      <c r="G111" t="s">
        <v>168</v>
      </c>
      <c r="J111" s="21">
        <v>0</v>
      </c>
      <c r="K111" s="21">
        <v>0</v>
      </c>
      <c r="L111" s="21">
        <v>0</v>
      </c>
      <c r="M111" s="21">
        <v>0</v>
      </c>
      <c r="N111" s="21">
        <v>0</v>
      </c>
      <c r="O111" s="21">
        <v>0</v>
      </c>
      <c r="P111" s="21">
        <v>0.67</v>
      </c>
      <c r="Q111" s="21">
        <v>0</v>
      </c>
      <c r="R111" s="21">
        <v>0</v>
      </c>
      <c r="S111" s="21">
        <v>0</v>
      </c>
      <c r="T111" s="21">
        <v>0</v>
      </c>
      <c r="U111" s="21">
        <v>0</v>
      </c>
      <c r="V111" s="21">
        <v>0</v>
      </c>
      <c r="W111" s="21">
        <v>0</v>
      </c>
      <c r="X111" s="21">
        <v>0.67</v>
      </c>
      <c r="Y111" s="21">
        <v>0.67</v>
      </c>
    </row>
    <row r="112" spans="3:25" x14ac:dyDescent="0.25">
      <c r="C112" s="78"/>
      <c r="E112" t="s">
        <v>196</v>
      </c>
      <c r="G112" t="s">
        <v>168</v>
      </c>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3:27" x14ac:dyDescent="0.25">
      <c r="C113" s="78"/>
      <c r="E113" t="s">
        <v>197</v>
      </c>
      <c r="G113" t="s">
        <v>168</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row>
    <row r="114" spans="3:27" x14ac:dyDescent="0.25">
      <c r="C114" s="78"/>
      <c r="E114" t="s">
        <v>198</v>
      </c>
      <c r="G114" t="s">
        <v>168</v>
      </c>
      <c r="J114" s="21">
        <v>0.81</v>
      </c>
      <c r="K114" s="21">
        <v>0.81</v>
      </c>
      <c r="L114" s="21">
        <v>0.81</v>
      </c>
      <c r="M114" s="21">
        <v>0.81</v>
      </c>
      <c r="N114" s="21">
        <v>0.81</v>
      </c>
      <c r="O114" s="21">
        <v>0.81</v>
      </c>
      <c r="P114" s="21">
        <v>1</v>
      </c>
      <c r="Q114" s="21">
        <v>0.81</v>
      </c>
      <c r="R114" s="21">
        <v>0.81</v>
      </c>
      <c r="S114" s="21">
        <v>0.81</v>
      </c>
      <c r="T114" s="21">
        <v>0.81</v>
      </c>
      <c r="U114" s="21">
        <v>0.81</v>
      </c>
      <c r="V114" s="21">
        <v>0.81</v>
      </c>
      <c r="W114" s="21">
        <v>0.81</v>
      </c>
      <c r="X114" s="21">
        <v>1</v>
      </c>
      <c r="Y114" s="21">
        <v>1</v>
      </c>
    </row>
    <row r="115" spans="3:27" x14ac:dyDescent="0.25">
      <c r="C115" s="78"/>
      <c r="E115" t="s">
        <v>199</v>
      </c>
      <c r="G115" t="s">
        <v>168</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200</v>
      </c>
      <c r="G116" t="s">
        <v>168</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168</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168</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190</v>
      </c>
      <c r="F123" s="19"/>
      <c r="G123" s="19" t="s">
        <v>270</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192</v>
      </c>
      <c r="G124" t="s">
        <v>270</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193</v>
      </c>
      <c r="G125" t="s">
        <v>270</v>
      </c>
      <c r="H125" s="256"/>
      <c r="I125" s="256"/>
      <c r="J125" s="268">
        <f>'Initial unit rates'!J125</f>
        <v>0.27197339828735606</v>
      </c>
      <c r="K125" s="268">
        <f>'Initial unit rates'!K125</f>
        <v>0.27197339828735606</v>
      </c>
      <c r="L125" s="268">
        <f>'Initial unit rates'!L125</f>
        <v>0.22306555276883971</v>
      </c>
      <c r="M125" s="268">
        <f>'Initial unit rates'!M125</f>
        <v>0.22306555276883971</v>
      </c>
      <c r="N125" s="268">
        <f>'Initial unit rates'!N125</f>
        <v>0.19089591350533369</v>
      </c>
      <c r="O125" s="268">
        <f>'Initial unit rates'!O125</f>
        <v>0.17118340639640844</v>
      </c>
      <c r="P125" s="268">
        <f>'Initial unit rates'!P125</f>
        <v>0.1483654378521401</v>
      </c>
      <c r="Q125" s="268">
        <f>'Initial unit rates'!Q125</f>
        <v>0.25290690767933682</v>
      </c>
      <c r="R125" s="257"/>
      <c r="S125" s="257"/>
      <c r="T125" s="257"/>
      <c r="U125" s="257"/>
      <c r="V125" s="257"/>
      <c r="W125" s="257"/>
      <c r="X125" s="257"/>
      <c r="Y125" s="257"/>
      <c r="Z125" s="256"/>
      <c r="AA125" s="256"/>
    </row>
    <row r="126" spans="3:27" x14ac:dyDescent="0.25">
      <c r="E126" t="s">
        <v>194</v>
      </c>
      <c r="G126" t="s">
        <v>270</v>
      </c>
      <c r="H126" s="256"/>
      <c r="I126" s="256"/>
      <c r="J126" s="268">
        <f>'Initial unit rates'!J126</f>
        <v>3.8957871595269547E-2</v>
      </c>
      <c r="K126" s="268">
        <f>'Initial unit rates'!K126</f>
        <v>3.8957871595269547E-2</v>
      </c>
      <c r="L126" s="268">
        <f>'Initial unit rates'!L126</f>
        <v>3.1952239508786853E-2</v>
      </c>
      <c r="M126" s="268">
        <f>'Initial unit rates'!M126</f>
        <v>3.1952239508786853E-2</v>
      </c>
      <c r="N126" s="268">
        <f>'Initial unit rates'!N126</f>
        <v>2.7344212828288986E-2</v>
      </c>
      <c r="O126" s="268">
        <f>'Initial unit rates'!O126</f>
        <v>2.4520564171448822E-2</v>
      </c>
      <c r="P126" s="268">
        <f>'Initial unit rates'!P126</f>
        <v>7.0131879273030674E-3</v>
      </c>
      <c r="Q126" s="268">
        <f>'Initial unit rates'!Q126</f>
        <v>3.6226759296945334E-2</v>
      </c>
      <c r="R126" s="257"/>
      <c r="S126" s="257"/>
      <c r="T126" s="257"/>
      <c r="U126" s="257"/>
      <c r="V126" s="257"/>
      <c r="W126" s="257"/>
      <c r="X126" s="257"/>
      <c r="Y126" s="257"/>
      <c r="Z126" s="256"/>
      <c r="AA126" s="256"/>
    </row>
    <row r="127" spans="3:27" x14ac:dyDescent="0.25">
      <c r="E127" t="s">
        <v>195</v>
      </c>
      <c r="G127" t="s">
        <v>270</v>
      </c>
      <c r="H127" s="256"/>
      <c r="I127" s="256"/>
      <c r="J127" s="268">
        <f>'Initial unit rates'!J127</f>
        <v>0.1245732788228303</v>
      </c>
      <c r="K127" s="268">
        <f>'Initial unit rates'!K127</f>
        <v>0.1245732788228303</v>
      </c>
      <c r="L127" s="268">
        <f>'Initial unit rates'!L127</f>
        <v>0.102171783989998</v>
      </c>
      <c r="M127" s="268">
        <f>'Initial unit rates'!M127</f>
        <v>0.102171783989998</v>
      </c>
      <c r="N127" s="268">
        <f>'Initial unit rates'!N127</f>
        <v>8.7436969972016484E-2</v>
      </c>
      <c r="O127" s="268">
        <f>'Initial unit rates'!O127</f>
        <v>7.8407955885195293E-2</v>
      </c>
      <c r="P127" s="268">
        <f>'Initial unit rates'!P127</f>
        <v>2.242565569754883E-2</v>
      </c>
      <c r="Q127" s="268">
        <f>'Initial unit rates'!Q127</f>
        <v>0.1158401627694134</v>
      </c>
      <c r="R127" s="257"/>
      <c r="S127" s="257"/>
      <c r="T127" s="257"/>
      <c r="U127" s="257"/>
      <c r="V127" s="257"/>
      <c r="W127" s="257"/>
      <c r="X127" s="257"/>
      <c r="Y127" s="257"/>
      <c r="Z127" s="256"/>
      <c r="AA127" s="256"/>
    </row>
    <row r="128" spans="3:27" x14ac:dyDescent="0.25">
      <c r="E128" t="s">
        <v>196</v>
      </c>
      <c r="G128" t="s">
        <v>270</v>
      </c>
      <c r="H128" s="256"/>
      <c r="I128" s="256"/>
      <c r="J128" s="268">
        <f>'Initial unit rates'!J128</f>
        <v>1.8721151317094623E-2</v>
      </c>
      <c r="K128" s="268">
        <f>'Initial unit rates'!K128</f>
        <v>1.8721151317094623E-2</v>
      </c>
      <c r="L128" s="268">
        <f>'Initial unit rates'!L128</f>
        <v>1.5354604506594297E-2</v>
      </c>
      <c r="M128" s="268">
        <f>'Initial unit rates'!M128</f>
        <v>1.5354604506594297E-2</v>
      </c>
      <c r="N128" s="268">
        <f>'Initial unit rates'!N128</f>
        <v>1.3140223658096282E-2</v>
      </c>
      <c r="O128" s="268">
        <f>'Initial unit rates'!O128</f>
        <v>1.1783323201105339E-2</v>
      </c>
      <c r="P128" s="268">
        <f>'Initial unit rates'!P128</f>
        <v>0</v>
      </c>
      <c r="Q128" s="268">
        <f>'Initial unit rates'!Q128</f>
        <v>1.7408719079212456E-2</v>
      </c>
      <c r="R128" s="257"/>
      <c r="S128" s="257"/>
      <c r="T128" s="257"/>
      <c r="U128" s="257"/>
      <c r="V128" s="257"/>
      <c r="W128" s="257"/>
      <c r="X128" s="257"/>
      <c r="Y128" s="257"/>
      <c r="Z128" s="256"/>
      <c r="AA128" s="256"/>
    </row>
    <row r="129" spans="4:27" x14ac:dyDescent="0.25">
      <c r="E129" t="s">
        <v>197</v>
      </c>
      <c r="G129" t="s">
        <v>270</v>
      </c>
      <c r="H129" s="256"/>
      <c r="I129" s="256"/>
      <c r="J129" s="268">
        <f>'Initial unit rates'!J129</f>
        <v>0</v>
      </c>
      <c r="K129" s="268">
        <f>'Initial unit rates'!K129</f>
        <v>0</v>
      </c>
      <c r="L129" s="268">
        <f>'Initial unit rates'!L129</f>
        <v>0</v>
      </c>
      <c r="M129" s="268">
        <f>'Initial unit rates'!M129</f>
        <v>0</v>
      </c>
      <c r="N129" s="268">
        <f>'Initial unit rates'!N129</f>
        <v>0</v>
      </c>
      <c r="O129" s="268">
        <f>'Initial unit rates'!O129</f>
        <v>0</v>
      </c>
      <c r="P129" s="268">
        <f>'Initial unit rates'!P129</f>
        <v>0</v>
      </c>
      <c r="Q129" s="268">
        <f>'Initial unit rates'!Q129</f>
        <v>0</v>
      </c>
      <c r="R129" s="257"/>
      <c r="S129" s="257"/>
      <c r="T129" s="257"/>
      <c r="U129" s="257"/>
      <c r="V129" s="257"/>
      <c r="W129" s="257"/>
      <c r="X129" s="257"/>
      <c r="Y129" s="257"/>
      <c r="Z129" s="256"/>
      <c r="AA129" s="256"/>
    </row>
    <row r="130" spans="4:27" x14ac:dyDescent="0.25">
      <c r="E130" t="s">
        <v>198</v>
      </c>
      <c r="G130" t="s">
        <v>270</v>
      </c>
      <c r="H130" s="256"/>
      <c r="I130" s="256"/>
      <c r="J130" s="268">
        <f>'Initial unit rates'!J130</f>
        <v>8.6211065067911777E-2</v>
      </c>
      <c r="K130" s="268">
        <f>'Initial unit rates'!K130</f>
        <v>8.6211065067911777E-2</v>
      </c>
      <c r="L130" s="268">
        <f>'Initial unit rates'!L130</f>
        <v>7.0708087648505072E-2</v>
      </c>
      <c r="M130" s="268">
        <f>'Initial unit rates'!M130</f>
        <v>7.0708087648505072E-2</v>
      </c>
      <c r="N130" s="268">
        <f>'Initial unit rates'!N130</f>
        <v>6.0510844531267816E-2</v>
      </c>
      <c r="O130" s="268">
        <f>'Initial unit rates'!O130</f>
        <v>5.4262306094344397E-2</v>
      </c>
      <c r="P130" s="268">
        <f>'Initial unit rates'!P130</f>
        <v>0</v>
      </c>
      <c r="Q130" s="268">
        <f>'Initial unit rates'!Q130</f>
        <v>8.0167303167757262E-2</v>
      </c>
      <c r="R130" s="257"/>
      <c r="S130" s="257"/>
      <c r="T130" s="257"/>
      <c r="U130" s="257"/>
      <c r="V130" s="257"/>
      <c r="W130" s="257"/>
      <c r="X130" s="257"/>
      <c r="Y130" s="257"/>
      <c r="Z130" s="256"/>
      <c r="AA130" s="256"/>
    </row>
    <row r="131" spans="4:27" x14ac:dyDescent="0.25">
      <c r="E131" t="s">
        <v>199</v>
      </c>
      <c r="G131" t="s">
        <v>270</v>
      </c>
      <c r="H131" s="256"/>
      <c r="I131" s="256"/>
      <c r="J131" s="268">
        <f>'Initial unit rates'!J131</f>
        <v>9.3081864745578283E-3</v>
      </c>
      <c r="K131" s="268">
        <f>'Initial unit rates'!K131</f>
        <v>9.3081864745578283E-3</v>
      </c>
      <c r="L131" s="268">
        <f>'Initial unit rates'!L131</f>
        <v>7.6343339984629947E-3</v>
      </c>
      <c r="M131" s="268">
        <f>'Initial unit rates'!M131</f>
        <v>7.6343339984629947E-3</v>
      </c>
      <c r="N131" s="268">
        <f>'Initial unit rates'!N131</f>
        <v>6.5333402874251448E-3</v>
      </c>
      <c r="O131" s="268">
        <f>'Initial unit rates'!O131</f>
        <v>5.8586872029456937E-3</v>
      </c>
      <c r="P131" s="268">
        <f>'Initial unit rates'!P131</f>
        <v>0</v>
      </c>
      <c r="Q131" s="268">
        <f>'Initial unit rates'!Q131</f>
        <v>8.6556430599723476E-3</v>
      </c>
      <c r="R131" s="257"/>
      <c r="S131" s="257"/>
      <c r="T131" s="257"/>
      <c r="U131" s="257"/>
      <c r="V131" s="257"/>
      <c r="W131" s="257"/>
      <c r="X131" s="257"/>
      <c r="Y131" s="257"/>
      <c r="Z131" s="256"/>
      <c r="AA131" s="256"/>
    </row>
    <row r="132" spans="4:27" x14ac:dyDescent="0.25">
      <c r="E132" t="s">
        <v>200</v>
      </c>
      <c r="G132" t="s">
        <v>270</v>
      </c>
      <c r="H132" s="256"/>
      <c r="I132" s="256"/>
      <c r="J132" s="268">
        <f>'Initial unit rates'!J132</f>
        <v>2.2970789648680014E-2</v>
      </c>
      <c r="K132" s="268">
        <f>'Initial unit rates'!K132</f>
        <v>2.2970789648680014E-2</v>
      </c>
      <c r="L132" s="268">
        <f>'Initial unit rates'!L132</f>
        <v>1.8840048044352287E-2</v>
      </c>
      <c r="M132" s="268">
        <f>'Initial unit rates'!M132</f>
        <v>1.8840048044352287E-2</v>
      </c>
      <c r="N132" s="268">
        <f>'Initial unit rates'!N132</f>
        <v>1.612301019708769E-2</v>
      </c>
      <c r="O132" s="268">
        <f>'Initial unit rates'!O132</f>
        <v>0</v>
      </c>
      <c r="P132" s="268">
        <f>'Initial unit rates'!P132</f>
        <v>0</v>
      </c>
      <c r="Q132" s="268">
        <f>'Initial unit rates'!Q132</f>
        <v>2.13604397105857E-2</v>
      </c>
      <c r="R132" s="257"/>
      <c r="S132" s="257"/>
      <c r="T132" s="257"/>
      <c r="U132" s="257"/>
      <c r="V132" s="257"/>
      <c r="W132" s="257"/>
      <c r="X132" s="257"/>
      <c r="Y132" s="257"/>
      <c r="Z132" s="256"/>
      <c r="AA132" s="256"/>
    </row>
    <row r="133" spans="4:27" x14ac:dyDescent="0.25">
      <c r="E133" t="s">
        <v>375</v>
      </c>
      <c r="G133" t="s">
        <v>270</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270</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190</v>
      </c>
      <c r="F137" s="19"/>
      <c r="G137" s="19" t="s">
        <v>270</v>
      </c>
      <c r="H137" s="255"/>
      <c r="I137" s="255"/>
      <c r="J137" s="267">
        <f>'Initial unit rates'!J135</f>
        <v>8.6673220562799719E-2</v>
      </c>
      <c r="K137" s="267">
        <f>'Initial unit rates'!K135</f>
        <v>8.6673220562799719E-2</v>
      </c>
      <c r="L137" s="267">
        <f>'Initial unit rates'!L135</f>
        <v>7.108713564210116E-2</v>
      </c>
      <c r="M137" s="267">
        <f>'Initial unit rates'!M135</f>
        <v>7.108713564210116E-2</v>
      </c>
      <c r="N137" s="267">
        <f>'Initial unit rates'!N135</f>
        <v>6.0835227709673111E-2</v>
      </c>
      <c r="O137" s="267">
        <f>'Initial unit rates'!O135</f>
        <v>5.4553192454546956E-2</v>
      </c>
      <c r="P137" s="267">
        <f>'Initial unit rates'!P135</f>
        <v>4.7281500322572979E-2</v>
      </c>
      <c r="Q137" s="267">
        <f>'Initial unit rates'!Q135</f>
        <v>8.0597059599140389E-2</v>
      </c>
      <c r="R137" s="269"/>
      <c r="S137" s="269"/>
      <c r="T137" s="269"/>
      <c r="U137" s="269"/>
      <c r="V137" s="269"/>
      <c r="W137" s="269"/>
      <c r="X137" s="269"/>
      <c r="Y137" s="269"/>
      <c r="Z137" s="256"/>
      <c r="AA137" s="256"/>
    </row>
    <row r="138" spans="4:27" x14ac:dyDescent="0.25">
      <c r="E138" t="s">
        <v>192</v>
      </c>
      <c r="G138" t="s">
        <v>270</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193</v>
      </c>
      <c r="G139" t="s">
        <v>270</v>
      </c>
      <c r="H139" s="256"/>
      <c r="I139" s="256"/>
      <c r="J139" s="268">
        <f>'Initial unit rates'!J137</f>
        <v>0.24638430498503788</v>
      </c>
      <c r="K139" s="268">
        <f>'Initial unit rates'!K137</f>
        <v>0.24638430498503788</v>
      </c>
      <c r="L139" s="268">
        <f>'Initial unit rates'!L137</f>
        <v>0.20207803973161192</v>
      </c>
      <c r="M139" s="268">
        <f>'Initial unit rates'!M137</f>
        <v>0.20207803973161192</v>
      </c>
      <c r="N139" s="268">
        <f>'Initial unit rates'!N137</f>
        <v>0.17293513729530852</v>
      </c>
      <c r="O139" s="268">
        <f>'Initial unit rates'!O137</f>
        <v>0.1550773159270083</v>
      </c>
      <c r="P139" s="268">
        <f>'Initial unit rates'!P137</f>
        <v>0.13440621589901941</v>
      </c>
      <c r="Q139" s="268">
        <f>'Initial unit rates'!Q137</f>
        <v>0.22911171852422085</v>
      </c>
      <c r="R139" s="257"/>
      <c r="S139" s="257"/>
      <c r="T139" s="257"/>
      <c r="U139" s="257"/>
      <c r="V139" s="257"/>
      <c r="W139" s="257"/>
      <c r="X139" s="257"/>
      <c r="Y139" s="257"/>
      <c r="Z139" s="256"/>
      <c r="AA139" s="256"/>
    </row>
    <row r="140" spans="4:27" x14ac:dyDescent="0.25">
      <c r="E140" t="s">
        <v>194</v>
      </c>
      <c r="G140" t="s">
        <v>270</v>
      </c>
      <c r="H140" s="256"/>
      <c r="I140" s="256"/>
      <c r="J140" s="268">
        <f>'Initial unit rates'!J138</f>
        <v>3.5292452045458271E-2</v>
      </c>
      <c r="K140" s="268">
        <f>'Initial unit rates'!K138</f>
        <v>3.5292452045458271E-2</v>
      </c>
      <c r="L140" s="268">
        <f>'Initial unit rates'!L138</f>
        <v>2.8945957118093297E-2</v>
      </c>
      <c r="M140" s="268">
        <f>'Initial unit rates'!M138</f>
        <v>2.8945957118093297E-2</v>
      </c>
      <c r="N140" s="268">
        <f>'Initial unit rates'!N138</f>
        <v>2.4771484694774092E-2</v>
      </c>
      <c r="O140" s="268">
        <f>'Initial unit rates'!O138</f>
        <v>2.2213503964973274E-2</v>
      </c>
      <c r="P140" s="268">
        <f>'Initial unit rates'!P138</f>
        <v>1.9252545041437249E-2</v>
      </c>
      <c r="Q140" s="268">
        <f>'Initial unit rates'!Q138</f>
        <v>3.281830122888562E-2</v>
      </c>
      <c r="R140" s="257"/>
      <c r="S140" s="257"/>
      <c r="T140" s="257"/>
      <c r="U140" s="257"/>
      <c r="V140" s="257"/>
      <c r="W140" s="257"/>
      <c r="X140" s="257"/>
      <c r="Y140" s="257"/>
      <c r="Z140" s="256"/>
      <c r="AA140" s="256"/>
    </row>
    <row r="141" spans="4:27" x14ac:dyDescent="0.25">
      <c r="E141" t="s">
        <v>195</v>
      </c>
      <c r="G141" t="s">
        <v>270</v>
      </c>
      <c r="H141" s="256"/>
      <c r="I141" s="256"/>
      <c r="J141" s="268">
        <f>'Initial unit rates'!J139</f>
        <v>0.11285258380322</v>
      </c>
      <c r="K141" s="268">
        <f>'Initial unit rates'!K139</f>
        <v>0.11285258380322</v>
      </c>
      <c r="L141" s="268">
        <f>'Initial unit rates'!L139</f>
        <v>9.255877282843579E-2</v>
      </c>
      <c r="M141" s="268">
        <f>'Initial unit rates'!M139</f>
        <v>9.255877282843579E-2</v>
      </c>
      <c r="N141" s="268">
        <f>'Initial unit rates'!N139</f>
        <v>7.9210309582525229E-2</v>
      </c>
      <c r="O141" s="268">
        <f>'Initial unit rates'!O139</f>
        <v>7.1030806092514304E-2</v>
      </c>
      <c r="P141" s="268">
        <f>'Initial unit rates'!P139</f>
        <v>6.1562723097718729E-2</v>
      </c>
      <c r="Q141" s="268">
        <f>'Initial unit rates'!Q139</f>
        <v>0.10494113826213293</v>
      </c>
      <c r="R141" s="257"/>
      <c r="S141" s="257"/>
      <c r="T141" s="257"/>
      <c r="U141" s="257"/>
      <c r="V141" s="257"/>
      <c r="W141" s="257"/>
      <c r="X141" s="257"/>
      <c r="Y141" s="257"/>
      <c r="Z141" s="256"/>
      <c r="AA141" s="256"/>
    </row>
    <row r="142" spans="4:27" x14ac:dyDescent="0.25">
      <c r="E142" t="s">
        <v>196</v>
      </c>
      <c r="G142" t="s">
        <v>270</v>
      </c>
      <c r="H142" s="256"/>
      <c r="I142" s="256"/>
      <c r="J142" s="268">
        <f>'Initial unit rates'!J140</f>
        <v>8.9261784324420557E-2</v>
      </c>
      <c r="K142" s="268">
        <f>'Initial unit rates'!K140</f>
        <v>8.9261784324420557E-2</v>
      </c>
      <c r="L142" s="268">
        <f>'Initial unit rates'!L140</f>
        <v>7.3210208744100877E-2</v>
      </c>
      <c r="M142" s="268">
        <f>'Initial unit rates'!M140</f>
        <v>7.3210208744100877E-2</v>
      </c>
      <c r="N142" s="268">
        <f>'Initial unit rates'!N140</f>
        <v>6.2652119534583578E-2</v>
      </c>
      <c r="O142" s="268">
        <f>'Initial unit rates'!O140</f>
        <v>5.6182466365815205E-2</v>
      </c>
      <c r="P142" s="268">
        <f>'Initial unit rates'!P140</f>
        <v>4.8693599440793676E-2</v>
      </c>
      <c r="Q142" s="268">
        <f>'Initial unit rates'!Q140</f>
        <v>8.3004154044423697E-2</v>
      </c>
      <c r="R142" s="257"/>
      <c r="S142" s="257"/>
      <c r="T142" s="257"/>
      <c r="U142" s="257"/>
      <c r="V142" s="257"/>
      <c r="W142" s="257"/>
      <c r="X142" s="257"/>
      <c r="Y142" s="257"/>
      <c r="Z142" s="256"/>
      <c r="AA142" s="256"/>
    </row>
    <row r="143" spans="4:27" x14ac:dyDescent="0.25">
      <c r="E143" t="s">
        <v>197</v>
      </c>
      <c r="G143" t="s">
        <v>270</v>
      </c>
      <c r="H143" s="256"/>
      <c r="I143" s="256"/>
      <c r="J143" s="268">
        <f>'Initial unit rates'!J141</f>
        <v>0</v>
      </c>
      <c r="K143" s="268">
        <f>'Initial unit rates'!K141</f>
        <v>0</v>
      </c>
      <c r="L143" s="268">
        <f>'Initial unit rates'!L141</f>
        <v>0</v>
      </c>
      <c r="M143" s="268">
        <f>'Initial unit rates'!M141</f>
        <v>0</v>
      </c>
      <c r="N143" s="268">
        <f>'Initial unit rates'!N141</f>
        <v>0</v>
      </c>
      <c r="O143" s="268">
        <f>'Initial unit rates'!O141</f>
        <v>0</v>
      </c>
      <c r="P143" s="268">
        <f>'Initial unit rates'!P141</f>
        <v>0</v>
      </c>
      <c r="Q143" s="268">
        <f>'Initial unit rates'!Q141</f>
        <v>0</v>
      </c>
      <c r="R143" s="257"/>
      <c r="S143" s="257"/>
      <c r="T143" s="257"/>
      <c r="U143" s="257"/>
      <c r="V143" s="257"/>
      <c r="W143" s="257"/>
      <c r="X143" s="257"/>
      <c r="Y143" s="257"/>
      <c r="Z143" s="256"/>
      <c r="AA143" s="256"/>
    </row>
    <row r="144" spans="4:27" x14ac:dyDescent="0.25">
      <c r="E144" t="s">
        <v>198</v>
      </c>
      <c r="G144" t="s">
        <v>270</v>
      </c>
      <c r="H144" s="256"/>
      <c r="I144" s="256"/>
      <c r="J144" s="268">
        <f>'Initial unit rates'!J142</f>
        <v>0.41105129519698719</v>
      </c>
      <c r="K144" s="268">
        <f>'Initial unit rates'!K142</f>
        <v>0.41105129519698719</v>
      </c>
      <c r="L144" s="268">
        <f>'Initial unit rates'!L142</f>
        <v>0.33713364967623072</v>
      </c>
      <c r="M144" s="268">
        <f>'Initial unit rates'!M142</f>
        <v>0.33713364967623072</v>
      </c>
      <c r="N144" s="268">
        <f>'Initial unit rates'!N142</f>
        <v>0.28851355679746787</v>
      </c>
      <c r="O144" s="268">
        <f>'Initial unit rates'!O142</f>
        <v>0.25872074753844471</v>
      </c>
      <c r="P144" s="268">
        <f>'Initial unit rates'!P142</f>
        <v>0.22423445004410023</v>
      </c>
      <c r="Q144" s="268">
        <f>'Initial unit rates'!Q142</f>
        <v>0.38223485318964451</v>
      </c>
      <c r="R144" s="257"/>
      <c r="S144" s="257"/>
      <c r="T144" s="257"/>
      <c r="U144" s="257"/>
      <c r="V144" s="257"/>
      <c r="W144" s="257"/>
      <c r="X144" s="257"/>
      <c r="Y144" s="257"/>
      <c r="Z144" s="256"/>
      <c r="AA144" s="256"/>
    </row>
    <row r="145" spans="2:27" x14ac:dyDescent="0.25">
      <c r="E145" t="s">
        <v>199</v>
      </c>
      <c r="G145" t="s">
        <v>270</v>
      </c>
      <c r="H145" s="256"/>
      <c r="I145" s="256"/>
      <c r="J145" s="268">
        <f>'Initial unit rates'!J143</f>
        <v>0.16864818909840248</v>
      </c>
      <c r="K145" s="268">
        <f>'Initial unit rates'!K143</f>
        <v>0.16864818909840248</v>
      </c>
      <c r="L145" s="268">
        <f>'Initial unit rates'!L143</f>
        <v>0.1383208863866591</v>
      </c>
      <c r="M145" s="268">
        <f>'Initial unit rates'!M143</f>
        <v>0.1383208863866591</v>
      </c>
      <c r="N145" s="268">
        <f>'Initial unit rates'!N143</f>
        <v>0.11837279058058708</v>
      </c>
      <c r="O145" s="268">
        <f>'Initial unit rates'!O143</f>
        <v>0.10614924722140488</v>
      </c>
      <c r="P145" s="268">
        <f>'Initial unit rates'!P143</f>
        <v>0</v>
      </c>
      <c r="Q145" s="268">
        <f>'Initial unit rates'!Q143</f>
        <v>0.1568252345971437</v>
      </c>
      <c r="R145" s="257"/>
      <c r="S145" s="257"/>
      <c r="T145" s="257"/>
      <c r="U145" s="257"/>
      <c r="V145" s="257"/>
      <c r="W145" s="257"/>
      <c r="X145" s="257"/>
      <c r="Y145" s="257"/>
      <c r="Z145" s="256"/>
      <c r="AA145" s="256"/>
    </row>
    <row r="146" spans="2:27" x14ac:dyDescent="0.25">
      <c r="E146" t="s">
        <v>200</v>
      </c>
      <c r="G146" t="s">
        <v>270</v>
      </c>
      <c r="H146" s="256"/>
      <c r="I146" s="256"/>
      <c r="J146" s="268">
        <f>'Initial unit rates'!J144</f>
        <v>0.41619085382517984</v>
      </c>
      <c r="K146" s="268">
        <f>'Initial unit rates'!K144</f>
        <v>0.41619085382517984</v>
      </c>
      <c r="L146" s="268">
        <f>'Initial unit rates'!L144</f>
        <v>0.34134898284338971</v>
      </c>
      <c r="M146" s="268">
        <f>'Initial unit rates'!M144</f>
        <v>0.34134898284338971</v>
      </c>
      <c r="N146" s="268">
        <f>'Initial unit rates'!N144</f>
        <v>0.2921209711457875</v>
      </c>
      <c r="O146" s="268">
        <f>'Initial unit rates'!O144</f>
        <v>0</v>
      </c>
      <c r="P146" s="268">
        <f>'Initial unit rates'!P144</f>
        <v>0</v>
      </c>
      <c r="Q146" s="268">
        <f>'Initial unit rates'!Q144</f>
        <v>0.38701410692430394</v>
      </c>
      <c r="R146" s="257"/>
      <c r="S146" s="257"/>
      <c r="T146" s="257"/>
      <c r="U146" s="257"/>
      <c r="V146" s="257"/>
      <c r="W146" s="257"/>
      <c r="X146" s="257"/>
      <c r="Y146" s="257"/>
      <c r="Z146" s="256"/>
      <c r="AA146" s="256"/>
    </row>
    <row r="147" spans="2:27" x14ac:dyDescent="0.25">
      <c r="E147" t="s">
        <v>375</v>
      </c>
      <c r="G147" t="s">
        <v>270</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270</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155</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190</v>
      </c>
      <c r="G158" s="19" t="s">
        <v>270</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192</v>
      </c>
      <c r="G159" t="s">
        <v>270</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193</v>
      </c>
      <c r="G160" t="s">
        <v>270</v>
      </c>
      <c r="H160" s="256"/>
      <c r="I160" s="256"/>
      <c r="J160" s="257"/>
      <c r="K160" s="257"/>
      <c r="L160" s="257"/>
      <c r="M160" s="257"/>
      <c r="N160" s="257"/>
      <c r="O160" s="257"/>
      <c r="P160" s="257"/>
      <c r="Q160" s="257"/>
      <c r="R160" s="271">
        <f t="shared" ref="R160:S160" si="0">hundred * $H51 * R95 / $H37 * (1 - R109) / hours_in_year</f>
        <v>-0.1350687474175126</v>
      </c>
      <c r="S160" s="271">
        <f t="shared" si="0"/>
        <v>-0.13315378407983516</v>
      </c>
      <c r="T160" s="271">
        <f t="shared" ref="T160:U160" si="1">hundred * $H51 * T95 / $H37 * (1 - T109) / hours_in_year</f>
        <v>-0.1350687474175126</v>
      </c>
      <c r="U160" s="271">
        <f t="shared" si="1"/>
        <v>-0.1350687474175126</v>
      </c>
      <c r="V160" s="271">
        <f t="shared" ref="V160:W160" si="2">hundred * $H51 * V95 / $H37 * (1 - V109) / hours_in_year</f>
        <v>-0.13315378407983516</v>
      </c>
      <c r="W160" s="271">
        <f t="shared" si="2"/>
        <v>-0.13315378407983516</v>
      </c>
      <c r="X160" s="271">
        <f t="shared" ref="X160:Y160" si="3">hundred * $H51 * X95 / $H37 * (1 - X109) / hours_in_year</f>
        <v>-0.13162181340969323</v>
      </c>
      <c r="Y160" s="271">
        <f t="shared" si="3"/>
        <v>-0.13162181340969323</v>
      </c>
      <c r="Z160" s="256"/>
      <c r="AA160" s="256"/>
    </row>
    <row r="161" spans="5:27" customFormat="1" x14ac:dyDescent="0.25">
      <c r="E161" s="2"/>
      <c r="F161" t="s">
        <v>194</v>
      </c>
      <c r="G161" t="s">
        <v>270</v>
      </c>
      <c r="H161" s="256"/>
      <c r="I161" s="256"/>
      <c r="J161" s="257"/>
      <c r="K161" s="257"/>
      <c r="L161" s="257"/>
      <c r="M161" s="257"/>
      <c r="N161" s="257"/>
      <c r="O161" s="257"/>
      <c r="P161" s="257"/>
      <c r="Q161" s="257"/>
      <c r="R161" s="271">
        <f t="shared" ref="R161:S161" si="4">hundred * $H52 * R96 / $H38 * (1 - R110) / hours_in_year</f>
        <v>-1.9347447035484491E-2</v>
      </c>
      <c r="S161" s="271">
        <f t="shared" si="4"/>
        <v>-1.9073144856342462E-2</v>
      </c>
      <c r="T161" s="271">
        <f t="shared" ref="T161:U161" si="5">hundred * $H52 * T96 / $H38 * (1 - T110) / hours_in_year</f>
        <v>-1.9347447035484491E-2</v>
      </c>
      <c r="U161" s="271">
        <f t="shared" si="5"/>
        <v>-1.9347447035484491E-2</v>
      </c>
      <c r="V161" s="271">
        <f t="shared" ref="V161:W161" si="6">hundred * $H52 * V96 / $H38 * (1 - V110) / hours_in_year</f>
        <v>-1.9073144856342462E-2</v>
      </c>
      <c r="W161" s="271">
        <f t="shared" si="6"/>
        <v>-1.9073144856342462E-2</v>
      </c>
      <c r="X161" s="271">
        <f t="shared" ref="X161:Y161" si="7">hundred * $H52 * X96 / $H38 * (1 - X110) / hours_in_year</f>
        <v>-6.2217220272995158E-3</v>
      </c>
      <c r="Y161" s="271">
        <f t="shared" si="7"/>
        <v>-6.2217220272995158E-3</v>
      </c>
      <c r="Z161" s="256"/>
      <c r="AA161" s="256"/>
    </row>
    <row r="162" spans="5:27" customFormat="1" x14ac:dyDescent="0.25">
      <c r="E162" s="2"/>
      <c r="F162" t="s">
        <v>195</v>
      </c>
      <c r="G162" t="s">
        <v>270</v>
      </c>
      <c r="H162" s="256"/>
      <c r="I162" s="256"/>
      <c r="J162" s="257"/>
      <c r="K162" s="257"/>
      <c r="L162" s="257"/>
      <c r="M162" s="257"/>
      <c r="N162" s="257"/>
      <c r="O162" s="257"/>
      <c r="P162" s="257"/>
      <c r="Q162" s="257"/>
      <c r="R162" s="271">
        <f t="shared" ref="R162:S162" si="8">hundred * $H53 * R97 / $H39 * (1 - R111) / hours_in_year</f>
        <v>-6.186618558376291E-2</v>
      </c>
      <c r="S162" s="271">
        <f t="shared" si="8"/>
        <v>-6.0989065750344719E-2</v>
      </c>
      <c r="T162" s="271">
        <f t="shared" ref="T162:U162" si="9">hundred * $H53 * T97 / $H39 * (1 - T111) / hours_in_year</f>
        <v>-6.186618558376291E-2</v>
      </c>
      <c r="U162" s="271">
        <f t="shared" si="9"/>
        <v>-6.186618558376291E-2</v>
      </c>
      <c r="V162" s="271">
        <f t="shared" ref="V162:W162" si="10">hundred * $H53 * V97 / $H39 * (1 - V111) / hours_in_year</f>
        <v>-6.0989065750344719E-2</v>
      </c>
      <c r="W162" s="271">
        <f t="shared" si="10"/>
        <v>-6.0989065750344719E-2</v>
      </c>
      <c r="X162" s="271">
        <f t="shared" ref="X162:Y162" si="11">hundred * $H53 * X97 / $H39 * (1 - X111) / hours_in_year</f>
        <v>-1.9894832061591351E-2</v>
      </c>
      <c r="Y162" s="271">
        <f t="shared" si="11"/>
        <v>-1.9894832061591351E-2</v>
      </c>
      <c r="Z162" s="256"/>
      <c r="AA162" s="256"/>
    </row>
    <row r="163" spans="5:27" customFormat="1" x14ac:dyDescent="0.25">
      <c r="E163" s="2"/>
      <c r="F163" t="s">
        <v>196</v>
      </c>
      <c r="G163" t="s">
        <v>270</v>
      </c>
      <c r="H163" s="256"/>
      <c r="I163" s="256"/>
      <c r="J163" s="257"/>
      <c r="K163" s="257"/>
      <c r="L163" s="257"/>
      <c r="M163" s="257"/>
      <c r="N163" s="257"/>
      <c r="O163" s="257"/>
      <c r="P163" s="257"/>
      <c r="Q163" s="257"/>
      <c r="R163" s="271">
        <f t="shared" ref="R163:S163" si="12">hundred * $H54 * R98 / $H40 * (1 - R112) / hours_in_year</f>
        <v>-9.2973889157425063E-3</v>
      </c>
      <c r="S163" s="271">
        <f t="shared" si="12"/>
        <v>-9.1655733829106179E-3</v>
      </c>
      <c r="T163" s="271">
        <f t="shared" ref="T163:U163" si="13">hundred * $H54 * T98 / $H40 * (1 - T112) / hours_in_year</f>
        <v>-9.2973889157425063E-3</v>
      </c>
      <c r="U163" s="271">
        <f t="shared" si="13"/>
        <v>-9.2973889157425063E-3</v>
      </c>
      <c r="V163" s="271">
        <f t="shared" ref="V163:W163" si="14">hundred * $H54 * V98 / $H40 * (1 - V112) / hours_in_year</f>
        <v>-9.1655733829106179E-3</v>
      </c>
      <c r="W163" s="271">
        <f t="shared" si="14"/>
        <v>-9.1655733829106179E-3</v>
      </c>
      <c r="X163" s="271">
        <f t="shared" ref="X163:Y163" si="15">hundred * $H54 * X98 / $H40 * (1 - X112) / hours_in_year</f>
        <v>0</v>
      </c>
      <c r="Y163" s="271">
        <f t="shared" si="15"/>
        <v>0</v>
      </c>
      <c r="Z163" s="256"/>
      <c r="AA163" s="256"/>
    </row>
    <row r="164" spans="5:27" customFormat="1" x14ac:dyDescent="0.25">
      <c r="E164" s="2"/>
      <c r="F164" t="s">
        <v>197</v>
      </c>
      <c r="G164" t="s">
        <v>270</v>
      </c>
      <c r="H164" s="256"/>
      <c r="I164" s="256"/>
      <c r="J164" s="257"/>
      <c r="K164" s="257"/>
      <c r="L164" s="257"/>
      <c r="M164" s="257"/>
      <c r="N164" s="257"/>
      <c r="O164" s="257"/>
      <c r="P164" s="257"/>
      <c r="Q164" s="257"/>
      <c r="R164" s="271">
        <f t="shared" ref="R164:S164" si="16">hundred * $H55 * R99 / $H41 * (1 - R113) / hours_in_year</f>
        <v>0</v>
      </c>
      <c r="S164" s="271">
        <f t="shared" si="16"/>
        <v>0</v>
      </c>
      <c r="T164" s="271">
        <f t="shared" ref="T164:U164" si="17">hundred * $H55 * T99 / $H41 * (1 - T113) / hours_in_year</f>
        <v>0</v>
      </c>
      <c r="U164" s="271">
        <f t="shared" si="17"/>
        <v>0</v>
      </c>
      <c r="V164" s="271">
        <f t="shared" ref="V164:W164" si="18">hundred * $H55 * V99 / $H41 * (1 - V113) / hours_in_year</f>
        <v>0</v>
      </c>
      <c r="W164" s="271">
        <f t="shared" si="18"/>
        <v>0</v>
      </c>
      <c r="X164" s="271">
        <f t="shared" ref="X164:Y164" si="19">hundred * $H55 * X99 / $H41 * (1 - X113) / hours_in_year</f>
        <v>0</v>
      </c>
      <c r="Y164" s="271">
        <f t="shared" si="19"/>
        <v>0</v>
      </c>
      <c r="Z164" s="256"/>
      <c r="AA164" s="256"/>
    </row>
    <row r="165" spans="5:27" customFormat="1" x14ac:dyDescent="0.25">
      <c r="E165" s="2"/>
      <c r="F165" t="s">
        <v>198</v>
      </c>
      <c r="G165" t="s">
        <v>270</v>
      </c>
      <c r="H165" s="256"/>
      <c r="I165" s="256"/>
      <c r="J165" s="257"/>
      <c r="K165" s="257"/>
      <c r="L165" s="257"/>
      <c r="M165" s="257"/>
      <c r="N165" s="257"/>
      <c r="O165" s="257"/>
      <c r="P165" s="257"/>
      <c r="Q165" s="257"/>
      <c r="R165" s="271">
        <f t="shared" ref="R165:S165" si="20">hundred * $H56 * R100 / $H42 * (1 - R114) / hours_in_year</f>
        <v>-4.2814557032337025E-2</v>
      </c>
      <c r="S165" s="271">
        <f t="shared" si="20"/>
        <v>-4.2207545354184799E-2</v>
      </c>
      <c r="T165" s="271">
        <f t="shared" ref="T165:U165" si="21">hundred * $H56 * T100 / $H42 * (1 - T114) / hours_in_year</f>
        <v>-4.2814557032337025E-2</v>
      </c>
      <c r="U165" s="271">
        <f t="shared" si="21"/>
        <v>-4.2814557032337025E-2</v>
      </c>
      <c r="V165" s="271">
        <f t="shared" ref="V165:W165" si="22">hundred * $H56 * V100 / $H42 * (1 - V114) / hours_in_year</f>
        <v>-4.2207545354184799E-2</v>
      </c>
      <c r="W165" s="271">
        <f t="shared" si="22"/>
        <v>-4.2207545354184799E-2</v>
      </c>
      <c r="X165" s="271">
        <f t="shared" ref="X165:Y165" si="23">hundred * $H56 * X100 / $H42 * (1 - X114) / hours_in_year</f>
        <v>0</v>
      </c>
      <c r="Y165" s="271">
        <f t="shared" si="23"/>
        <v>0</v>
      </c>
      <c r="Z165" s="256"/>
      <c r="AA165" s="256"/>
    </row>
    <row r="166" spans="5:27" customFormat="1" x14ac:dyDescent="0.25">
      <c r="E166" s="2"/>
      <c r="F166" t="s">
        <v>199</v>
      </c>
      <c r="G166" t="s">
        <v>270</v>
      </c>
      <c r="H166" s="256"/>
      <c r="I166" s="256"/>
      <c r="J166" s="257"/>
      <c r="K166" s="257"/>
      <c r="L166" s="257"/>
      <c r="M166" s="257"/>
      <c r="N166" s="257"/>
      <c r="O166" s="257"/>
      <c r="P166" s="257"/>
      <c r="Q166" s="257"/>
      <c r="R166" s="271">
        <f t="shared" ref="R166:S166" si="24">hundred * $H57 * R101 / $H43 * (1 - R115) / hours_in_year</f>
        <v>-4.6226766873677999E-3</v>
      </c>
      <c r="S166" s="271">
        <f t="shared" si="24"/>
        <v>-4.5571377929344179E-3</v>
      </c>
      <c r="T166" s="271">
        <f t="shared" ref="T166:U166" si="25">hundred * $H57 * T101 / $H43 * (1 - T115) / hours_in_year</f>
        <v>-4.6226766873677999E-3</v>
      </c>
      <c r="U166" s="271">
        <f t="shared" si="25"/>
        <v>-4.6226766873677999E-3</v>
      </c>
      <c r="V166" s="271">
        <f t="shared" ref="V166:W166" si="26">hundred * $H57 * V101 / $H43 * (1 - V115) / hours_in_year</f>
        <v>-4.5571377929344179E-3</v>
      </c>
      <c r="W166" s="271">
        <f t="shared" si="26"/>
        <v>-4.5571377929344179E-3</v>
      </c>
      <c r="X166" s="271">
        <f t="shared" ref="X166:Y166" si="27">hundred * $H57 * X101 / $H43 * (1 - X115) / hours_in_year</f>
        <v>0</v>
      </c>
      <c r="Y166" s="271">
        <f t="shared" si="27"/>
        <v>0</v>
      </c>
      <c r="Z166" s="256"/>
      <c r="AA166" s="256"/>
    </row>
    <row r="167" spans="5:27" customFormat="1" x14ac:dyDescent="0.25">
      <c r="E167" s="2"/>
      <c r="F167" t="s">
        <v>200</v>
      </c>
      <c r="G167" t="s">
        <v>270</v>
      </c>
      <c r="H167" s="256"/>
      <c r="I167" s="256"/>
      <c r="J167" s="257"/>
      <c r="K167" s="257"/>
      <c r="L167" s="257"/>
      <c r="M167" s="257"/>
      <c r="N167" s="257"/>
      <c r="O167" s="257"/>
      <c r="P167" s="257"/>
      <c r="Q167" s="257"/>
      <c r="R167" s="271">
        <f t="shared" ref="R167:S167" si="28">hundred * $H58 * R102 / $H44 * (1 - R116) / hours_in_year</f>
        <v>-1.1407864903611837E-2</v>
      </c>
      <c r="S167" s="271">
        <f t="shared" si="28"/>
        <v>0</v>
      </c>
      <c r="T167" s="271">
        <f t="shared" ref="T167:U167" si="29">hundred * $H58 * T102 / $H44 * (1 - T116) / hours_in_year</f>
        <v>-1.1407864903611837E-2</v>
      </c>
      <c r="U167" s="271">
        <f t="shared" si="29"/>
        <v>-1.1407864903611837E-2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270</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270</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190</v>
      </c>
      <c r="G172" s="19" t="s">
        <v>270</v>
      </c>
      <c r="H172" s="255"/>
      <c r="I172" s="255"/>
      <c r="J172" s="269"/>
      <c r="K172" s="269"/>
      <c r="L172" s="269"/>
      <c r="M172" s="269"/>
      <c r="N172" s="269"/>
      <c r="O172" s="269"/>
      <c r="P172" s="269"/>
      <c r="Q172" s="269"/>
      <c r="R172" s="270">
        <f t="shared" ref="R172:S172" si="32">hundred * $H63 * R93 / $H35 / hours_in_year</f>
        <v>-4.3044074934454349E-2</v>
      </c>
      <c r="S172" s="270">
        <f t="shared" si="32"/>
        <v>-4.243380922177304E-2</v>
      </c>
      <c r="T172" s="270">
        <f t="shared" ref="T172:U172" si="33">hundred * $H63 * T93 / $H35 / hours_in_year</f>
        <v>-4.3044074934454349E-2</v>
      </c>
      <c r="U172" s="270">
        <f t="shared" si="33"/>
        <v>-4.3044074934454349E-2</v>
      </c>
      <c r="V172" s="270">
        <f t="shared" ref="V172:W172" si="34">hundred * $H63 * V93 / $H35 / hours_in_year</f>
        <v>-4.243380922177304E-2</v>
      </c>
      <c r="W172" s="270">
        <f t="shared" si="34"/>
        <v>-4.243380922177304E-2</v>
      </c>
      <c r="X172" s="270">
        <f t="shared" ref="X172:Y172" si="35">hundred * $H63 * X93 / $H35 / hours_in_year</f>
        <v>-4.1945596651628003E-2</v>
      </c>
      <c r="Y172" s="270">
        <f t="shared" si="35"/>
        <v>-4.1945596651628003E-2</v>
      </c>
      <c r="Z172" s="256"/>
      <c r="AA172" s="256"/>
    </row>
    <row r="173" spans="5:27" customFormat="1" x14ac:dyDescent="0.25">
      <c r="E173" s="2"/>
      <c r="F173" t="s">
        <v>192</v>
      </c>
      <c r="G173" t="s">
        <v>270</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193</v>
      </c>
      <c r="G174" t="s">
        <v>270</v>
      </c>
      <c r="H174" s="256"/>
      <c r="I174" s="256"/>
      <c r="J174" s="257"/>
      <c r="K174" s="257"/>
      <c r="L174" s="257"/>
      <c r="M174" s="257"/>
      <c r="N174" s="257"/>
      <c r="O174" s="257"/>
      <c r="P174" s="257"/>
      <c r="Q174" s="257"/>
      <c r="R174" s="271">
        <f t="shared" ref="R174:S174" si="40">hundred * $H65 * R95 / $H37 / hours_in_year</f>
        <v>-0.12236056786150244</v>
      </c>
      <c r="S174" s="271">
        <f t="shared" si="40"/>
        <v>-0.12062577720184028</v>
      </c>
      <c r="T174" s="271">
        <f t="shared" ref="T174:U174" si="41">hundred * $H65 * T95 / $H37 / hours_in_year</f>
        <v>-0.12236056786150244</v>
      </c>
      <c r="U174" s="271">
        <f t="shared" si="41"/>
        <v>-0.12236056786150244</v>
      </c>
      <c r="V174" s="271">
        <f t="shared" ref="V174:W174" si="42">hundred * $H65 * V95 / $H37 / hours_in_year</f>
        <v>-0.12062577720184028</v>
      </c>
      <c r="W174" s="271">
        <f t="shared" si="42"/>
        <v>-0.12062577720184028</v>
      </c>
      <c r="X174" s="271">
        <f t="shared" ref="X174:Y174" si="43">hundred * $H65 * X95 / $H37 / hours_in_year</f>
        <v>-0.1192379446741106</v>
      </c>
      <c r="Y174" s="271">
        <f t="shared" si="43"/>
        <v>-0.1192379446741106</v>
      </c>
      <c r="Z174" s="256"/>
      <c r="AA174" s="256"/>
    </row>
    <row r="175" spans="5:27" customFormat="1" x14ac:dyDescent="0.25">
      <c r="E175" s="2"/>
      <c r="F175" t="s">
        <v>194</v>
      </c>
      <c r="G175" t="s">
        <v>270</v>
      </c>
      <c r="H175" s="256"/>
      <c r="I175" s="256"/>
      <c r="J175" s="257"/>
      <c r="K175" s="257"/>
      <c r="L175" s="257"/>
      <c r="M175" s="257"/>
      <c r="N175" s="257"/>
      <c r="O175" s="257"/>
      <c r="P175" s="257"/>
      <c r="Q175" s="257"/>
      <c r="R175" s="271">
        <f t="shared" ref="R175:S175" si="44">hundred * $H66 * R96 / $H38 / hours_in_year</f>
        <v>-1.7527108610953773E-2</v>
      </c>
      <c r="S175" s="271">
        <f t="shared" si="44"/>
        <v>-1.7278614632537603E-2</v>
      </c>
      <c r="T175" s="271">
        <f t="shared" ref="T175:U175" si="45">hundred * $H66 * T96 / $H38 / hours_in_year</f>
        <v>-1.7527108610953773E-2</v>
      </c>
      <c r="U175" s="271">
        <f t="shared" si="45"/>
        <v>-1.7527108610953773E-2</v>
      </c>
      <c r="V175" s="271">
        <f t="shared" ref="V175:W175" si="46">hundred * $H66 * V96 / $H38 / hours_in_year</f>
        <v>-1.7278614632537603E-2</v>
      </c>
      <c r="W175" s="271">
        <f t="shared" si="46"/>
        <v>-1.7278614632537603E-2</v>
      </c>
      <c r="X175" s="271">
        <f t="shared" ref="X175:Y175" si="47">hundred * $H66 * X96 / $H38 / hours_in_year</f>
        <v>-1.7079819449804669E-2</v>
      </c>
      <c r="Y175" s="271">
        <f t="shared" si="47"/>
        <v>-1.7079819449804669E-2</v>
      </c>
      <c r="Z175" s="256"/>
      <c r="AA175" s="256"/>
    </row>
    <row r="176" spans="5:27" customFormat="1" x14ac:dyDescent="0.25">
      <c r="E176" s="2"/>
      <c r="F176" t="s">
        <v>195</v>
      </c>
      <c r="G176" t="s">
        <v>270</v>
      </c>
      <c r="H176" s="256"/>
      <c r="I176" s="256"/>
      <c r="J176" s="257"/>
      <c r="K176" s="257"/>
      <c r="L176" s="257"/>
      <c r="M176" s="257"/>
      <c r="N176" s="257"/>
      <c r="O176" s="257"/>
      <c r="P176" s="257"/>
      <c r="Q176" s="257"/>
      <c r="R176" s="271">
        <f t="shared" ref="R176:S176" si="48">hundred * $H67 * R97 / $H39 / hours_in_year</f>
        <v>-5.6045397208390982E-2</v>
      </c>
      <c r="S176" s="271">
        <f t="shared" si="48"/>
        <v>-5.5250802730011143E-2</v>
      </c>
      <c r="T176" s="271">
        <f t="shared" ref="T176:U176" si="49">hundred * $H67 * T97 / $H39 / hours_in_year</f>
        <v>-5.6045397208390982E-2</v>
      </c>
      <c r="U176" s="271">
        <f t="shared" si="49"/>
        <v>-5.6045397208390982E-2</v>
      </c>
      <c r="V176" s="271">
        <f t="shared" ref="V176:W176" si="50">hundred * $H67 * V97 / $H39 / hours_in_year</f>
        <v>-5.5250802730011143E-2</v>
      </c>
      <c r="W176" s="271">
        <f t="shared" si="50"/>
        <v>-5.5250802730011143E-2</v>
      </c>
      <c r="X176" s="271">
        <f t="shared" ref="X176:Y176" si="51">hundred * $H67 * X97 / $H39 / hours_in_year</f>
        <v>-5.461512714730727E-2</v>
      </c>
      <c r="Y176" s="271">
        <f t="shared" si="51"/>
        <v>-5.461512714730727E-2</v>
      </c>
      <c r="Z176" s="256"/>
      <c r="AA176" s="256"/>
    </row>
    <row r="177" spans="2:27" x14ac:dyDescent="0.25">
      <c r="D177"/>
      <c r="F177" t="s">
        <v>196</v>
      </c>
      <c r="G177" t="s">
        <v>270</v>
      </c>
      <c r="H177" s="256"/>
      <c r="I177" s="256"/>
      <c r="J177" s="257"/>
      <c r="K177" s="257"/>
      <c r="L177" s="257"/>
      <c r="M177" s="257"/>
      <c r="N177" s="257"/>
      <c r="O177" s="257"/>
      <c r="P177" s="257"/>
      <c r="Q177" s="257"/>
      <c r="R177" s="271">
        <f t="shared" ref="R177:S177" si="52">hundred * $H68 * R98 / $H40 / hours_in_year</f>
        <v>-4.4329620017518258E-2</v>
      </c>
      <c r="S177" s="271">
        <f t="shared" si="52"/>
        <v>-4.3701128240332267E-2</v>
      </c>
      <c r="T177" s="271">
        <f t="shared" ref="T177:U177" si="53">hundred * $H68 * T98 / $H40 / hours_in_year</f>
        <v>-4.4329620017518258E-2</v>
      </c>
      <c r="U177" s="271">
        <f t="shared" si="53"/>
        <v>-4.4329620017518258E-2</v>
      </c>
      <c r="V177" s="271">
        <f t="shared" ref="V177:W177" si="54">hundred * $H68 * V98 / $H40 / hours_in_year</f>
        <v>-4.3701128240332267E-2</v>
      </c>
      <c r="W177" s="271">
        <f t="shared" si="54"/>
        <v>-4.3701128240332267E-2</v>
      </c>
      <c r="X177" s="271">
        <f t="shared" ref="X177:Y177" si="55">hundred * $H68 * X98 / $H40 / hours_in_year</f>
        <v>-4.3198334818583477E-2</v>
      </c>
      <c r="Y177" s="271">
        <f t="shared" si="55"/>
        <v>-4.3198334818583477E-2</v>
      </c>
      <c r="Z177" s="256"/>
      <c r="AA177" s="256"/>
    </row>
    <row r="178" spans="2:27" x14ac:dyDescent="0.25">
      <c r="D178"/>
      <c r="F178" t="s">
        <v>197</v>
      </c>
      <c r="G178" t="s">
        <v>270</v>
      </c>
      <c r="H178" s="256"/>
      <c r="I178" s="256"/>
      <c r="J178" s="257"/>
      <c r="K178" s="257"/>
      <c r="L178" s="257"/>
      <c r="M178" s="257"/>
      <c r="N178" s="257"/>
      <c r="O178" s="257"/>
      <c r="P178" s="257"/>
      <c r="Q178" s="257"/>
      <c r="R178" s="271">
        <f t="shared" ref="R178:S178" si="56">hundred * $H69 * R99 / $H41 / hours_in_year</f>
        <v>0</v>
      </c>
      <c r="S178" s="271">
        <f t="shared" si="56"/>
        <v>0</v>
      </c>
      <c r="T178" s="271">
        <f t="shared" ref="T178:U178" si="57">hundred * $H69 * T99 / $H41 / hours_in_year</f>
        <v>0</v>
      </c>
      <c r="U178" s="271">
        <f t="shared" si="57"/>
        <v>0</v>
      </c>
      <c r="V178" s="271">
        <f t="shared" ref="V178:W178" si="58">hundred * $H69 * V99 / $H41 / hours_in_year</f>
        <v>0</v>
      </c>
      <c r="W178" s="271">
        <f t="shared" si="58"/>
        <v>0</v>
      </c>
      <c r="X178" s="271">
        <f t="shared" ref="X178:Y178" si="59">hundred * $H69 * X99 / $H41 / hours_in_year</f>
        <v>0</v>
      </c>
      <c r="Y178" s="271">
        <f t="shared" si="59"/>
        <v>0</v>
      </c>
      <c r="Z178" s="256"/>
      <c r="AA178" s="256"/>
    </row>
    <row r="179" spans="2:27" x14ac:dyDescent="0.25">
      <c r="D179"/>
      <c r="F179" t="s">
        <v>198</v>
      </c>
      <c r="G179" t="s">
        <v>270</v>
      </c>
      <c r="H179" s="256"/>
      <c r="I179" s="256"/>
      <c r="J179" s="257"/>
      <c r="K179" s="257"/>
      <c r="L179" s="257"/>
      <c r="M179" s="257"/>
      <c r="N179" s="257"/>
      <c r="O179" s="257"/>
      <c r="P179" s="257"/>
      <c r="Q179" s="257"/>
      <c r="R179" s="271">
        <f t="shared" ref="R179:S179" si="60">hundred * $H70 * R100 / $H42 / hours_in_year</f>
        <v>-0.20413828674502532</v>
      </c>
      <c r="S179" s="271">
        <f t="shared" si="60"/>
        <v>-0.20124407663049282</v>
      </c>
      <c r="T179" s="271">
        <f t="shared" ref="T179:U179" si="61">hundred * $H70 * T100 / $H42 / hours_in_year</f>
        <v>-0.20413828674502532</v>
      </c>
      <c r="U179" s="271">
        <f t="shared" si="61"/>
        <v>-0.20413828674502532</v>
      </c>
      <c r="V179" s="271">
        <f t="shared" ref="V179:W179" si="62">hundred * $H70 * V100 / $H42 / hours_in_year</f>
        <v>-0.20124407663049282</v>
      </c>
      <c r="W179" s="271">
        <f t="shared" si="62"/>
        <v>-0.20124407663049282</v>
      </c>
      <c r="X179" s="271">
        <f t="shared" ref="X179:Y179" si="63">hundred * $H70 * X100 / $H42 / hours_in_year</f>
        <v>-0.19892870853886682</v>
      </c>
      <c r="Y179" s="271">
        <f t="shared" si="63"/>
        <v>-0.19892870853886682</v>
      </c>
      <c r="Z179" s="256"/>
      <c r="AA179" s="256"/>
    </row>
    <row r="180" spans="2:27" x14ac:dyDescent="0.25">
      <c r="D180"/>
      <c r="F180" t="s">
        <v>199</v>
      </c>
      <c r="G180" t="s">
        <v>270</v>
      </c>
      <c r="H180" s="256"/>
      <c r="I180" s="256"/>
      <c r="J180" s="257"/>
      <c r="K180" s="257"/>
      <c r="L180" s="257"/>
      <c r="M180" s="257"/>
      <c r="N180" s="257"/>
      <c r="O180" s="257"/>
      <c r="P180" s="257"/>
      <c r="Q180" s="257"/>
      <c r="R180" s="271">
        <f t="shared" ref="R180:S180" si="64">hundred * $H71 * R101 / $H43 / hours_in_year</f>
        <v>-8.3754881172921E-2</v>
      </c>
      <c r="S180" s="271">
        <f t="shared" si="64"/>
        <v>-8.2567430116594148E-2</v>
      </c>
      <c r="T180" s="271">
        <f t="shared" ref="T180:U180" si="65">hundred * $H71 * T101 / $H43 / hours_in_year</f>
        <v>-8.3754881172921E-2</v>
      </c>
      <c r="U180" s="271">
        <f t="shared" si="65"/>
        <v>-8.3754881172921E-2</v>
      </c>
      <c r="V180" s="271">
        <f t="shared" ref="V180:W180" si="66">hundred * $H71 * V101 / $H43 / hours_in_year</f>
        <v>-8.2567430116594148E-2</v>
      </c>
      <c r="W180" s="271">
        <f t="shared" si="66"/>
        <v>-8.2567430116594148E-2</v>
      </c>
      <c r="X180" s="271">
        <f t="shared" ref="X180:Y180" si="67">hundred * $H71 * X101 / $H43 / hours_in_year</f>
        <v>0</v>
      </c>
      <c r="Y180" s="271">
        <f t="shared" si="67"/>
        <v>0</v>
      </c>
      <c r="Z180" s="256"/>
      <c r="AA180" s="256"/>
    </row>
    <row r="181" spans="2:27" x14ac:dyDescent="0.25">
      <c r="D181"/>
      <c r="F181" t="s">
        <v>200</v>
      </c>
      <c r="G181" t="s">
        <v>270</v>
      </c>
      <c r="H181" s="256"/>
      <c r="I181" s="256"/>
      <c r="J181" s="257"/>
      <c r="K181" s="257"/>
      <c r="L181" s="257"/>
      <c r="M181" s="257"/>
      <c r="N181" s="257"/>
      <c r="O181" s="257"/>
      <c r="P181" s="257"/>
      <c r="Q181" s="257"/>
      <c r="R181" s="271">
        <f t="shared" ref="R181:S181" si="68">hundred * $H72 * R102 / $H44 / hours_in_year</f>
        <v>-0.20669071926438293</v>
      </c>
      <c r="S181" s="271">
        <f t="shared" si="68"/>
        <v>0</v>
      </c>
      <c r="T181" s="271">
        <f t="shared" ref="T181:U181" si="69">hundred * $H72 * T102 / $H44 / hours_in_year</f>
        <v>-0.20669071926438293</v>
      </c>
      <c r="U181" s="271">
        <f t="shared" si="69"/>
        <v>-0.20669071926438293</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270</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270</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155</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155</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190</v>
      </c>
      <c r="G193" s="19" t="s">
        <v>273</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192</v>
      </c>
      <c r="G194" t="s">
        <v>273</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193</v>
      </c>
      <c r="G195" t="s">
        <v>273</v>
      </c>
      <c r="H195" s="256"/>
      <c r="I195" s="256"/>
      <c r="J195" s="271">
        <f t="shared" ref="J195:K195" si="72">ABS(J125 + J160)*(1-J82)*PowerFactor*$H23</f>
        <v>3.9155249033280132E-2</v>
      </c>
      <c r="K195" s="271">
        <f t="shared" si="72"/>
        <v>3.9155249033280132E-2</v>
      </c>
      <c r="L195" s="271">
        <f t="shared" ref="L195:M195" si="73">ABS(L125 + L160)*(1-L82)*PowerFactor*$H23</f>
        <v>3.2114123382692088E-2</v>
      </c>
      <c r="M195" s="271">
        <f t="shared" si="73"/>
        <v>3.2114123382692088E-2</v>
      </c>
      <c r="N195" s="271">
        <f t="shared" ref="N195:P195" si="74">ABS(N125 + N160)*(1-N82)*PowerFactor*$H23</f>
        <v>2.7482750444731033E-2</v>
      </c>
      <c r="O195" s="271">
        <f t="shared" si="74"/>
        <v>2.4644795961753365E-2</v>
      </c>
      <c r="P195" s="271">
        <f t="shared" si="74"/>
        <v>2.1359756886569974E-2</v>
      </c>
      <c r="Q195" s="271">
        <f t="shared" ref="Q195:S195" si="75">ABS(Q125 + Q160)*(1-Q82)*PowerFactor*$H23</f>
        <v>3.6410299738059308E-2</v>
      </c>
      <c r="R195" s="271">
        <f t="shared" si="75"/>
        <v>1.9445469575513945E-2</v>
      </c>
      <c r="S195" s="271">
        <f t="shared" si="75"/>
        <v>1.9169777662817619E-2</v>
      </c>
      <c r="T195" s="271">
        <f t="shared" ref="T195:U195" si="76">ABS(T125 + T160)*(1-T82)*PowerFactor*$H23</f>
        <v>1.9445469575513945E-2</v>
      </c>
      <c r="U195" s="271">
        <f t="shared" si="76"/>
        <v>1.9445469575513945E-2</v>
      </c>
      <c r="V195" s="271">
        <f t="shared" ref="V195:W195" si="77">ABS(V125 + V160)*(1-V82)*PowerFactor*$H23</f>
        <v>1.9169777662817619E-2</v>
      </c>
      <c r="W195" s="271">
        <f t="shared" si="77"/>
        <v>1.9169777662817619E-2</v>
      </c>
      <c r="X195" s="271">
        <f t="shared" ref="X195:Y195" si="78">ABS(X125 + X160)*(1-X82)*PowerFactor*$H23</f>
        <v>1.8949224132660557E-2</v>
      </c>
      <c r="Y195" s="271">
        <f t="shared" si="78"/>
        <v>1.8949224132660557E-2</v>
      </c>
      <c r="Z195" s="256"/>
      <c r="AA195" s="256"/>
    </row>
    <row r="196" spans="4:27" x14ac:dyDescent="0.25">
      <c r="F196" t="s">
        <v>194</v>
      </c>
      <c r="G196" t="s">
        <v>273</v>
      </c>
      <c r="H196" s="256"/>
      <c r="I196" s="256"/>
      <c r="J196" s="271">
        <f t="shared" ref="J196:K196" si="79">ABS(J126 + J161)*(1-J83)*PowerFactor*$H24</f>
        <v>5.6086557498820095E-3</v>
      </c>
      <c r="K196" s="271">
        <f t="shared" si="79"/>
        <v>5.6086557498820095E-3</v>
      </c>
      <c r="L196" s="271">
        <f t="shared" ref="L196:M196" si="80">ABS(L126 + L161)*(1-L83)*PowerFactor*$H24</f>
        <v>4.6000745036678271E-3</v>
      </c>
      <c r="M196" s="271">
        <f t="shared" si="80"/>
        <v>4.6000745036678271E-3</v>
      </c>
      <c r="N196" s="271">
        <f t="shared" ref="N196:P196" si="81">ABS(N126 + N161)*(1-N83)*PowerFactor*$H24</f>
        <v>3.9366697980493031E-3</v>
      </c>
      <c r="O196" s="271">
        <f t="shared" si="81"/>
        <v>3.5301570029109722E-3</v>
      </c>
      <c r="P196" s="271">
        <f t="shared" si="81"/>
        <v>1.0096690394720545E-3</v>
      </c>
      <c r="Q196" s="271">
        <f t="shared" ref="Q196:S196" si="82">ABS(Q126 + Q161)*(1-Q83)*PowerFactor*$H24</f>
        <v>5.2154651553160186E-3</v>
      </c>
      <c r="R196" s="271">
        <f t="shared" si="82"/>
        <v>2.7853978058258173E-3</v>
      </c>
      <c r="S196" s="271">
        <f t="shared" si="82"/>
        <v>2.7459072887299884E-3</v>
      </c>
      <c r="T196" s="271">
        <f t="shared" ref="T196:U196" si="83">ABS(T126 + T161)*(1-T83)*PowerFactor*$H24</f>
        <v>2.7853978058258173E-3</v>
      </c>
      <c r="U196" s="271">
        <f t="shared" si="83"/>
        <v>2.7853978058258173E-3</v>
      </c>
      <c r="V196" s="271">
        <f t="shared" ref="V196:W196" si="84">ABS(V126 + V161)*(1-V83)*PowerFactor*$H24</f>
        <v>2.7459072887299884E-3</v>
      </c>
      <c r="W196" s="271">
        <f t="shared" si="84"/>
        <v>2.7459072887299884E-3</v>
      </c>
      <c r="X196" s="271">
        <f t="shared" ref="X196:Y196" si="85">ABS(X126 + X161)*(1-X83)*PowerFactor*$H24</f>
        <v>8.9572390876759716E-4</v>
      </c>
      <c r="Y196" s="271">
        <f t="shared" si="85"/>
        <v>8.9572390876759716E-4</v>
      </c>
      <c r="Z196" s="256"/>
      <c r="AA196" s="256"/>
    </row>
    <row r="197" spans="4:27" x14ac:dyDescent="0.25">
      <c r="F197" t="s">
        <v>195</v>
      </c>
      <c r="G197" t="s">
        <v>273</v>
      </c>
      <c r="H197" s="256"/>
      <c r="I197" s="256"/>
      <c r="J197" s="271">
        <f t="shared" ref="J197:K197" si="86">ABS(J127 + J162)*(1-J84)*PowerFactor*$H25</f>
        <v>1.7934466333529374E-2</v>
      </c>
      <c r="K197" s="271">
        <f t="shared" si="86"/>
        <v>1.7934466333529374E-2</v>
      </c>
      <c r="L197" s="271">
        <f t="shared" ref="L197:M197" si="87">ABS(L127 + L162)*(1-L84)*PowerFactor*$H25</f>
        <v>1.4709385813078841E-2</v>
      </c>
      <c r="M197" s="271">
        <f t="shared" si="87"/>
        <v>1.4709385813078841E-2</v>
      </c>
      <c r="N197" s="271">
        <f t="shared" ref="N197:P197" si="88">ABS(N127 + N162)*(1-N84)*PowerFactor*$H25</f>
        <v>1.2588055874319328E-2</v>
      </c>
      <c r="O197" s="271">
        <f t="shared" si="88"/>
        <v>1.1288173983955367E-2</v>
      </c>
      <c r="P197" s="271">
        <f t="shared" si="88"/>
        <v>2.5828471140236331E-3</v>
      </c>
      <c r="Q197" s="271">
        <f t="shared" ref="Q197:S197" si="89">ABS(Q127 + Q162)*(1-Q84)*PowerFactor*$H25</f>
        <v>1.6677184054963337E-2</v>
      </c>
      <c r="R197" s="271">
        <f t="shared" si="89"/>
        <v>8.9067016058385507E-3</v>
      </c>
      <c r="S197" s="271">
        <f t="shared" si="89"/>
        <v>8.780425118043108E-3</v>
      </c>
      <c r="T197" s="271">
        <f t="shared" ref="T197:U197" si="90">ABS(T127 + T162)*(1-T84)*PowerFactor*$H25</f>
        <v>8.9067016058385507E-3</v>
      </c>
      <c r="U197" s="271">
        <f t="shared" si="90"/>
        <v>8.9067016058385507E-3</v>
      </c>
      <c r="V197" s="271">
        <f t="shared" ref="V197:W197" si="91">ABS(V127 + V162)*(1-V84)*PowerFactor*$H25</f>
        <v>8.780425118043108E-3</v>
      </c>
      <c r="W197" s="271">
        <f t="shared" si="91"/>
        <v>8.780425118043108E-3</v>
      </c>
      <c r="X197" s="271">
        <f t="shared" ref="X197:Y197" si="92">ABS(X127 + X162)*(1-X84)*PowerFactor*$H25</f>
        <v>2.8642032961762281E-3</v>
      </c>
      <c r="Y197" s="271">
        <f t="shared" si="92"/>
        <v>2.8642032961762281E-3</v>
      </c>
      <c r="Z197" s="256"/>
      <c r="AA197" s="256"/>
    </row>
    <row r="198" spans="4:27" x14ac:dyDescent="0.25">
      <c r="F198" t="s">
        <v>196</v>
      </c>
      <c r="G198" t="s">
        <v>273</v>
      </c>
      <c r="H198" s="256"/>
      <c r="I198" s="256"/>
      <c r="J198" s="271">
        <f t="shared" ref="J198:K198" si="93">ABS(J128 + J163)*(1-J85)*PowerFactor*$H26</f>
        <v>2.6952317639391673E-3</v>
      </c>
      <c r="K198" s="271">
        <f t="shared" si="93"/>
        <v>2.6952317639391673E-3</v>
      </c>
      <c r="L198" s="271">
        <f t="shared" ref="L198:M198" si="94">ABS(L128 + L163)*(1-L85)*PowerFactor*$H26</f>
        <v>2.2105594409200543E-3</v>
      </c>
      <c r="M198" s="271">
        <f t="shared" si="94"/>
        <v>2.2105594409200543E-3</v>
      </c>
      <c r="N198" s="271">
        <f t="shared" ref="N198:P198" si="95">ABS(N128 + N163)*(1-N85)*PowerFactor*$H26</f>
        <v>1.8917612271114475E-3</v>
      </c>
      <c r="O198" s="271">
        <f t="shared" si="95"/>
        <v>1.6964120656073609E-3</v>
      </c>
      <c r="P198" s="271">
        <f t="shared" si="95"/>
        <v>0</v>
      </c>
      <c r="Q198" s="271">
        <f t="shared" ref="Q198:S198" si="96">ABS(Q128 + Q163)*(1-Q85)*PowerFactor*$H26</f>
        <v>2.5062845674957623E-3</v>
      </c>
      <c r="R198" s="271">
        <f t="shared" si="96"/>
        <v>1.3385190634362138E-3</v>
      </c>
      <c r="S198" s="271">
        <f t="shared" si="96"/>
        <v>1.3195419500604639E-3</v>
      </c>
      <c r="T198" s="271">
        <f t="shared" ref="T198:U198" si="97">ABS(T128 + T163)*(1-T85)*PowerFactor*$H26</f>
        <v>1.3385190634362138E-3</v>
      </c>
      <c r="U198" s="271">
        <f t="shared" si="97"/>
        <v>1.3385190634362138E-3</v>
      </c>
      <c r="V198" s="271">
        <f t="shared" ref="V198:W198" si="98">ABS(V128 + V163)*(1-V85)*PowerFactor*$H26</f>
        <v>1.3195419500604639E-3</v>
      </c>
      <c r="W198" s="271">
        <f t="shared" si="98"/>
        <v>1.3195419500604639E-3</v>
      </c>
      <c r="X198" s="271">
        <f t="shared" ref="X198:Y198" si="99">ABS(X128 + X163)*(1-X85)*PowerFactor*$H26</f>
        <v>0</v>
      </c>
      <c r="Y198" s="271">
        <f t="shared" si="99"/>
        <v>0</v>
      </c>
      <c r="Z198" s="256"/>
      <c r="AA198" s="256"/>
    </row>
    <row r="199" spans="4:27" x14ac:dyDescent="0.25">
      <c r="F199" t="s">
        <v>197</v>
      </c>
      <c r="G199" t="s">
        <v>273</v>
      </c>
      <c r="H199" s="256"/>
      <c r="I199" s="256"/>
      <c r="J199" s="271">
        <f t="shared" ref="J199:K199" si="100">ABS(J129 + J164)*(1-J86)*PowerFactor*$H27</f>
        <v>0</v>
      </c>
      <c r="K199" s="271">
        <f t="shared" si="100"/>
        <v>0</v>
      </c>
      <c r="L199" s="271">
        <f t="shared" ref="L199:M199" si="101">ABS(L129 + L164)*(1-L86)*PowerFactor*$H27</f>
        <v>0</v>
      </c>
      <c r="M199" s="271">
        <f t="shared" si="101"/>
        <v>0</v>
      </c>
      <c r="N199" s="271">
        <f t="shared" ref="N199:P199" si="102">ABS(N129 + N164)*(1-N86)*PowerFactor*$H27</f>
        <v>0</v>
      </c>
      <c r="O199" s="271">
        <f t="shared" si="102"/>
        <v>0</v>
      </c>
      <c r="P199" s="271">
        <f t="shared" si="102"/>
        <v>0</v>
      </c>
      <c r="Q199" s="271">
        <f t="shared" ref="Q199:S199" si="103">ABS(Q129 + Q164)*(1-Q86)*PowerFactor*$H27</f>
        <v>0</v>
      </c>
      <c r="R199" s="271">
        <f t="shared" si="103"/>
        <v>0</v>
      </c>
      <c r="S199" s="271">
        <f t="shared" si="103"/>
        <v>0</v>
      </c>
      <c r="T199" s="271">
        <f t="shared" ref="T199:U199" si="104">ABS(T129 + T164)*(1-T86)*PowerFactor*$H27</f>
        <v>0</v>
      </c>
      <c r="U199" s="271">
        <f t="shared" si="104"/>
        <v>0</v>
      </c>
      <c r="V199" s="271">
        <f t="shared" ref="V199:W199" si="105">ABS(V129 + V164)*(1-V86)*PowerFactor*$H27</f>
        <v>0</v>
      </c>
      <c r="W199" s="271">
        <f t="shared" si="105"/>
        <v>0</v>
      </c>
      <c r="X199" s="271">
        <f t="shared" ref="X199:Y199" si="106">ABS(X129 + X164)*(1-X86)*PowerFactor*$H27</f>
        <v>0</v>
      </c>
      <c r="Y199" s="271">
        <f t="shared" si="106"/>
        <v>0</v>
      </c>
      <c r="Z199" s="256"/>
      <c r="AA199" s="256"/>
    </row>
    <row r="200" spans="4:27" x14ac:dyDescent="0.25">
      <c r="F200" t="s">
        <v>198</v>
      </c>
      <c r="G200" t="s">
        <v>273</v>
      </c>
      <c r="H200" s="256"/>
      <c r="I200" s="256"/>
      <c r="J200" s="271">
        <f t="shared" ref="J200:K200" si="107">ABS(J130 + J165)*(1-J87)*PowerFactor*$H28</f>
        <v>1.2411565775972931E-2</v>
      </c>
      <c r="K200" s="271">
        <f t="shared" si="107"/>
        <v>1.2411565775972931E-2</v>
      </c>
      <c r="L200" s="271">
        <f t="shared" ref="L200:M200" si="108">ABS(L130 + L165)*(1-L87)*PowerFactor*$H28</f>
        <v>1.0179645502017196E-2</v>
      </c>
      <c r="M200" s="271">
        <f t="shared" si="108"/>
        <v>1.0179645502017196E-2</v>
      </c>
      <c r="N200" s="271">
        <f t="shared" ref="N200:P200" si="109">ABS(N130 + N165)*(1-N87)*PowerFactor*$H28</f>
        <v>6.9692615579485875E-3</v>
      </c>
      <c r="O200" s="271">
        <f t="shared" si="109"/>
        <v>0</v>
      </c>
      <c r="P200" s="271">
        <f t="shared" si="109"/>
        <v>0</v>
      </c>
      <c r="Q200" s="271">
        <f t="shared" ref="Q200:S200" si="110">ABS(Q130 + Q165)*(1-Q87)*PowerFactor*$H28</f>
        <v>1.1541462288688593E-2</v>
      </c>
      <c r="R200" s="271">
        <f t="shared" si="110"/>
        <v>6.1638919593139758E-3</v>
      </c>
      <c r="S200" s="271">
        <f t="shared" si="110"/>
        <v>6.0765021867339097E-3</v>
      </c>
      <c r="T200" s="271">
        <f t="shared" ref="T200:U200" si="111">ABS(T130 + T165)*(1-T87)*PowerFactor*$H28</f>
        <v>6.1638919593139758E-3</v>
      </c>
      <c r="U200" s="271">
        <f t="shared" si="111"/>
        <v>6.1638919593139758E-3</v>
      </c>
      <c r="V200" s="271">
        <f t="shared" ref="V200:W200" si="112">ABS(V130 + V165)*(1-V87)*PowerFactor*$H28</f>
        <v>6.0765021867339097E-3</v>
      </c>
      <c r="W200" s="271">
        <f t="shared" si="112"/>
        <v>6.0765021867339097E-3</v>
      </c>
      <c r="X200" s="271">
        <f t="shared" ref="X200:Y200" si="113">ABS(X130 + X165)*(1-X87)*PowerFactor*$H28</f>
        <v>0</v>
      </c>
      <c r="Y200" s="271">
        <f t="shared" si="113"/>
        <v>0</v>
      </c>
      <c r="Z200" s="256"/>
      <c r="AA200" s="256"/>
    </row>
    <row r="201" spans="4:27" x14ac:dyDescent="0.25">
      <c r="F201" t="s">
        <v>199</v>
      </c>
      <c r="G201" t="s">
        <v>273</v>
      </c>
      <c r="H201" s="256"/>
      <c r="I201" s="256"/>
      <c r="J201" s="271">
        <f t="shared" ref="J201:K201" si="114">ABS(J131 + J166)*(1-J88)*PowerFactor*$H29</f>
        <v>1.3400735577618638E-3</v>
      </c>
      <c r="K201" s="271">
        <f t="shared" si="114"/>
        <v>1.3400735577618638E-3</v>
      </c>
      <c r="L201" s="271">
        <f t="shared" ref="L201:M201" si="115">ABS(L131 + L166)*(1-L88)*PowerFactor*$H29</f>
        <v>1.0990937010583095E-3</v>
      </c>
      <c r="M201" s="271">
        <f t="shared" si="115"/>
        <v>1.0990937010583095E-3</v>
      </c>
      <c r="N201" s="271">
        <f t="shared" ref="N201:P201" si="116">ABS(N131 + N166)*(1-N88)*PowerFactor*$H29</f>
        <v>0</v>
      </c>
      <c r="O201" s="271">
        <f t="shared" si="116"/>
        <v>0</v>
      </c>
      <c r="P201" s="271">
        <f t="shared" si="116"/>
        <v>0</v>
      </c>
      <c r="Q201" s="271">
        <f t="shared" ref="Q201:S201" si="117">ABS(Q131 + Q166)*(1-Q88)*PowerFactor*$H29</f>
        <v>1.2461287085081662E-3</v>
      </c>
      <c r="R201" s="271">
        <f t="shared" si="117"/>
        <v>6.6551382610951246E-4</v>
      </c>
      <c r="S201" s="271">
        <f t="shared" si="117"/>
        <v>6.5607837488867798E-4</v>
      </c>
      <c r="T201" s="271">
        <f t="shared" ref="T201:U201" si="118">ABS(T131 + T166)*(1-T88)*PowerFactor*$H29</f>
        <v>6.6551382610951246E-4</v>
      </c>
      <c r="U201" s="271">
        <f t="shared" si="118"/>
        <v>6.6551382610951246E-4</v>
      </c>
      <c r="V201" s="271">
        <f t="shared" ref="V201:W201" si="119">ABS(V131 + V166)*(1-V88)*PowerFactor*$H29</f>
        <v>6.5607837488867798E-4</v>
      </c>
      <c r="W201" s="271">
        <f t="shared" si="119"/>
        <v>6.5607837488867798E-4</v>
      </c>
      <c r="X201" s="271">
        <f t="shared" ref="X201:Y201" si="120">ABS(X131 + X166)*(1-X88)*PowerFactor*$H29</f>
        <v>0</v>
      </c>
      <c r="Y201" s="271">
        <f t="shared" si="120"/>
        <v>0</v>
      </c>
      <c r="Z201" s="256"/>
      <c r="AA201" s="256"/>
    </row>
    <row r="202" spans="4:27" x14ac:dyDescent="0.25">
      <c r="F202" t="s">
        <v>200</v>
      </c>
      <c r="G202" t="s">
        <v>273</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3.0752027278957302E-3</v>
      </c>
      <c r="R202" s="271">
        <f t="shared" si="124"/>
        <v>1.6423583852380891E-3</v>
      </c>
      <c r="S202" s="271">
        <f t="shared" si="124"/>
        <v>0</v>
      </c>
      <c r="T202" s="271">
        <f t="shared" ref="T202:U202" si="125">ABS(T132 + T167)*(1-T89)*PowerFactor*$H30</f>
        <v>1.6423583852380891E-3</v>
      </c>
      <c r="U202" s="271">
        <f t="shared" si="125"/>
        <v>1.6423583852380891E-3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273</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273</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190</v>
      </c>
      <c r="G207" s="19" t="s">
        <v>273</v>
      </c>
      <c r="H207" s="255"/>
      <c r="I207" s="255"/>
      <c r="J207" s="404">
        <f t="shared" ref="J207:K207" si="128">ABS(J137 + J172)*(1-J81)*PowerFactor*$H22</f>
        <v>1.2478101009228783E-2</v>
      </c>
      <c r="K207" s="404">
        <f t="shared" si="128"/>
        <v>1.2478101009228783E-2</v>
      </c>
      <c r="L207" s="404">
        <f t="shared" ref="L207:M207" si="129">ABS(L137 + L172)*(1-L81)*PowerFactor*$H22</f>
        <v>1.0234215980888585E-2</v>
      </c>
      <c r="M207" s="404">
        <f t="shared" si="129"/>
        <v>1.0234215980888585E-2</v>
      </c>
      <c r="N207" s="404">
        <f t="shared" ref="N207:P207" si="130">ABS(N137 + N172)*(1-N81)*PowerFactor*$H22</f>
        <v>8.7582774858437108E-3</v>
      </c>
      <c r="O207" s="404">
        <f t="shared" si="130"/>
        <v>7.8538704504526116E-3</v>
      </c>
      <c r="P207" s="404">
        <f t="shared" si="130"/>
        <v>6.8069852840586687E-3</v>
      </c>
      <c r="Q207" s="404">
        <f t="shared" ref="Q207:S207" si="131">ABS(Q137 + Q172)*(1-Q81)*PowerFactor*$H22</f>
        <v>1.1603333119440508E-2</v>
      </c>
      <c r="R207" s="404">
        <f t="shared" si="131"/>
        <v>6.1969350093754559E-3</v>
      </c>
      <c r="S207" s="404">
        <f t="shared" si="131"/>
        <v>6.1090767625506604E-3</v>
      </c>
      <c r="T207" s="404">
        <f t="shared" ref="T207:U207" si="132">ABS(T137 + T172)*(1-T81)*PowerFactor*$H22</f>
        <v>6.1969350093754559E-3</v>
      </c>
      <c r="U207" s="404">
        <f t="shared" si="132"/>
        <v>6.1969350093754559E-3</v>
      </c>
      <c r="V207" s="404">
        <f t="shared" ref="V207:W207" si="133">ABS(V137 + V172)*(1-V81)*PowerFactor*$H22</f>
        <v>6.1090767625506604E-3</v>
      </c>
      <c r="W207" s="404">
        <f t="shared" si="133"/>
        <v>6.1090767625506604E-3</v>
      </c>
      <c r="X207" s="404">
        <f t="shared" ref="X207:Y207" si="134">ABS(X137 + X172)*(1-X81)*PowerFactor*$H22</f>
        <v>6.038790165090826E-3</v>
      </c>
      <c r="Y207" s="404">
        <f t="shared" si="134"/>
        <v>6.038790165090826E-3</v>
      </c>
      <c r="Z207" s="256"/>
      <c r="AA207" s="256"/>
    </row>
    <row r="208" spans="4:27" x14ac:dyDescent="0.25">
      <c r="F208" t="s">
        <v>192</v>
      </c>
      <c r="G208" t="s">
        <v>273</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193</v>
      </c>
      <c r="G209" t="s">
        <v>273</v>
      </c>
      <c r="H209" s="256"/>
      <c r="I209" s="256"/>
      <c r="J209" s="271">
        <f t="shared" ref="J209:K209" si="142">ABS(J139 + J174)*(1-J82)*PowerFactor*$H23</f>
        <v>3.5471258881679013E-2</v>
      </c>
      <c r="K209" s="271">
        <f t="shared" si="142"/>
        <v>3.5471258881679013E-2</v>
      </c>
      <c r="L209" s="271">
        <f t="shared" ref="L209:M209" si="143">ABS(L139 + L174)*(1-L82)*PowerFactor*$H23</f>
        <v>2.9092609864323587E-2</v>
      </c>
      <c r="M209" s="271">
        <f t="shared" si="143"/>
        <v>2.9092609864323587E-2</v>
      </c>
      <c r="N209" s="271">
        <f t="shared" ref="N209:P209" si="144">ABS(N139 + N174)*(1-N82)*PowerFactor*$H23</f>
        <v>2.4896987757045252E-2</v>
      </c>
      <c r="O209" s="271">
        <f t="shared" si="144"/>
        <v>2.2326047189803262E-2</v>
      </c>
      <c r="P209" s="271">
        <f t="shared" si="144"/>
        <v>1.9350086766892385E-2</v>
      </c>
      <c r="Q209" s="271">
        <f t="shared" ref="Q209:S209" si="145">ABS(Q139 + Q174)*(1-Q82)*PowerFactor*$H23</f>
        <v>3.2984572946286213E-2</v>
      </c>
      <c r="R209" s="271">
        <f t="shared" si="145"/>
        <v>1.7615908528703473E-2</v>
      </c>
      <c r="S209" s="271">
        <f t="shared" si="145"/>
        <v>1.7366155572247369E-2</v>
      </c>
      <c r="T209" s="271">
        <f t="shared" ref="T209:U209" si="146">ABS(T139 + T174)*(1-T82)*PowerFactor*$H23</f>
        <v>1.7615908528703473E-2</v>
      </c>
      <c r="U209" s="271">
        <f t="shared" si="146"/>
        <v>1.7615908528703473E-2</v>
      </c>
      <c r="V209" s="271">
        <f t="shared" ref="V209:W209" si="147">ABS(V139 + V174)*(1-V82)*PowerFactor*$H23</f>
        <v>1.7366155572247369E-2</v>
      </c>
      <c r="W209" s="271">
        <f t="shared" si="147"/>
        <v>1.7366155572247369E-2</v>
      </c>
      <c r="X209" s="271">
        <f t="shared" ref="X209:Y209" si="148">ABS(X139 + X174)*(1-X82)*PowerFactor*$H23</f>
        <v>1.7166353207082492E-2</v>
      </c>
      <c r="Y209" s="271">
        <f t="shared" si="148"/>
        <v>1.7166353207082492E-2</v>
      </c>
      <c r="Z209" s="256"/>
      <c r="AA209" s="256"/>
    </row>
    <row r="210" spans="3:27" x14ac:dyDescent="0.25">
      <c r="F210" t="s">
        <v>194</v>
      </c>
      <c r="G210" t="s">
        <v>273</v>
      </c>
      <c r="H210" s="256"/>
      <c r="I210" s="256"/>
      <c r="J210" s="271">
        <f t="shared" ref="J210:K210" si="149">ABS(J140 + J175)*(1-J83)*PowerFactor*$H24</f>
        <v>5.080955554980315E-3</v>
      </c>
      <c r="K210" s="271">
        <f t="shared" si="149"/>
        <v>5.080955554980315E-3</v>
      </c>
      <c r="L210" s="271">
        <f t="shared" ref="L210:M210" si="150">ABS(L140 + L175)*(1-L83)*PowerFactor*$H24</f>
        <v>4.1672684409675273E-3</v>
      </c>
      <c r="M210" s="271">
        <f t="shared" si="150"/>
        <v>4.1672684409675273E-3</v>
      </c>
      <c r="N210" s="271">
        <f t="shared" ref="N210:P210" si="151">ABS(N140 + N175)*(1-N83)*PowerFactor*$H24</f>
        <v>3.5662813284524772E-3</v>
      </c>
      <c r="O210" s="271">
        <f t="shared" si="151"/>
        <v>3.1980160012977255E-3</v>
      </c>
      <c r="P210" s="271">
        <f t="shared" si="151"/>
        <v>2.771735031326274E-3</v>
      </c>
      <c r="Q210" s="271">
        <f t="shared" ref="Q210:S210" si="152">ABS(Q140 + Q175)*(1-Q83)*PowerFactor*$H24</f>
        <v>4.7247589858348269E-3</v>
      </c>
      <c r="R210" s="271">
        <f t="shared" si="152"/>
        <v>2.5233287770671962E-3</v>
      </c>
      <c r="S210" s="271">
        <f t="shared" si="152"/>
        <v>2.487553794405563E-3</v>
      </c>
      <c r="T210" s="271">
        <f t="shared" ref="T210:U210" si="153">ABS(T140 + T175)*(1-T83)*PowerFactor*$H24</f>
        <v>2.5233287770671962E-3</v>
      </c>
      <c r="U210" s="271">
        <f t="shared" si="153"/>
        <v>2.5233287770671962E-3</v>
      </c>
      <c r="V210" s="271">
        <f t="shared" ref="V210:W210" si="154">ABS(V140 + V175)*(1-V83)*PowerFactor*$H24</f>
        <v>2.487553794405563E-3</v>
      </c>
      <c r="W210" s="271">
        <f t="shared" si="154"/>
        <v>2.487553794405563E-3</v>
      </c>
      <c r="X210" s="271">
        <f t="shared" ref="X210:Y210" si="155">ABS(X140 + X175)*(1-X83)*PowerFactor*$H24</f>
        <v>2.4589338082762566E-3</v>
      </c>
      <c r="Y210" s="271">
        <f t="shared" si="155"/>
        <v>2.4589338082762566E-3</v>
      </c>
      <c r="Z210" s="256"/>
      <c r="AA210" s="256"/>
    </row>
    <row r="211" spans="3:27" x14ac:dyDescent="0.25">
      <c r="F211" t="s">
        <v>195</v>
      </c>
      <c r="G211" t="s">
        <v>273</v>
      </c>
      <c r="H211" s="256"/>
      <c r="I211" s="256"/>
      <c r="J211" s="271">
        <f t="shared" ref="J211:K211" si="156">ABS(J141 + J176)*(1-J84)*PowerFactor*$H25</f>
        <v>1.6247070671946751E-2</v>
      </c>
      <c r="K211" s="271">
        <f t="shared" si="156"/>
        <v>1.6247070671946751E-2</v>
      </c>
      <c r="L211" s="271">
        <f t="shared" ref="L211:M211" si="157">ABS(L141 + L176)*(1-L84)*PowerFactor*$H25</f>
        <v>1.3325427498181509E-2</v>
      </c>
      <c r="M211" s="271">
        <f t="shared" si="157"/>
        <v>1.3325427498181509E-2</v>
      </c>
      <c r="N211" s="271">
        <f t="shared" ref="N211:P211" si="158">ABS(N141 + N176)*(1-N84)*PowerFactor*$H25</f>
        <v>1.1403686600371381E-2</v>
      </c>
      <c r="O211" s="271">
        <f t="shared" si="158"/>
        <v>1.0226106373272932E-2</v>
      </c>
      <c r="P211" s="271">
        <f t="shared" si="158"/>
        <v>7.0904103687705619E-3</v>
      </c>
      <c r="Q211" s="271">
        <f t="shared" ref="Q211:S211" si="159">ABS(Q141 + Q176)*(1-Q84)*PowerFactor*$H25</f>
        <v>1.5108081997594112E-2</v>
      </c>
      <c r="R211" s="271">
        <f t="shared" si="159"/>
        <v>8.0686989929252655E-3</v>
      </c>
      <c r="S211" s="271">
        <f t="shared" si="159"/>
        <v>7.9543034495473067E-3</v>
      </c>
      <c r="T211" s="271">
        <f t="shared" ref="T211:U211" si="160">ABS(T141 + T176)*(1-T84)*PowerFactor*$H25</f>
        <v>8.0686989929252655E-3</v>
      </c>
      <c r="U211" s="271">
        <f t="shared" si="160"/>
        <v>8.0686989929252655E-3</v>
      </c>
      <c r="V211" s="271">
        <f t="shared" ref="V211:W211" si="161">ABS(V141 + V176)*(1-V84)*PowerFactor*$H25</f>
        <v>7.9543034495473067E-3</v>
      </c>
      <c r="W211" s="271">
        <f t="shared" si="161"/>
        <v>7.9543034495473067E-3</v>
      </c>
      <c r="X211" s="271">
        <f t="shared" ref="X211:Y211" si="162">ABS(X141 + X176)*(1-X84)*PowerFactor*$H25</f>
        <v>7.8627870148449408E-3</v>
      </c>
      <c r="Y211" s="271">
        <f t="shared" si="162"/>
        <v>7.8627870148449408E-3</v>
      </c>
      <c r="Z211" s="256"/>
      <c r="AA211" s="256"/>
    </row>
    <row r="212" spans="3:27" x14ac:dyDescent="0.25">
      <c r="F212" t="s">
        <v>196</v>
      </c>
      <c r="G212" t="s">
        <v>273</v>
      </c>
      <c r="H212" s="256"/>
      <c r="I212" s="256"/>
      <c r="J212" s="271">
        <f t="shared" ref="J212:K212" si="163">ABS(J142 + J177)*(1-J85)*PowerFactor*$H26</f>
        <v>1.2850769289887981E-2</v>
      </c>
      <c r="K212" s="271">
        <f t="shared" si="163"/>
        <v>1.2850769289887981E-2</v>
      </c>
      <c r="L212" s="271">
        <f t="shared" ref="L212:M212" si="164">ABS(L142 + L177)*(1-L85)*PowerFactor*$H26</f>
        <v>1.053986887395876E-2</v>
      </c>
      <c r="M212" s="271">
        <f t="shared" si="164"/>
        <v>1.053986887395876E-2</v>
      </c>
      <c r="N212" s="271">
        <f t="shared" ref="N212:P212" si="165">ABS(N142 + N177)*(1-N85)*PowerFactor*$H26</f>
        <v>9.0198503173003208E-3</v>
      </c>
      <c r="O212" s="271">
        <f t="shared" si="165"/>
        <v>8.088432455931294E-3</v>
      </c>
      <c r="P212" s="271">
        <f t="shared" si="165"/>
        <v>0</v>
      </c>
      <c r="Q212" s="271">
        <f t="shared" ref="Q212:S212" si="166">ABS(Q142 + Q177)*(1-Q85)*PowerFactor*$H26</f>
        <v>1.1949875770468871E-2</v>
      </c>
      <c r="R212" s="271">
        <f t="shared" si="166"/>
        <v>6.3820113373834371E-3</v>
      </c>
      <c r="S212" s="271">
        <f t="shared" si="166"/>
        <v>6.2915291350575846E-3</v>
      </c>
      <c r="T212" s="271">
        <f t="shared" ref="T212:U212" si="167">ABS(T142 + T177)*(1-T85)*PowerFactor*$H26</f>
        <v>6.3820113373834371E-3</v>
      </c>
      <c r="U212" s="271">
        <f t="shared" si="167"/>
        <v>6.3820113373834371E-3</v>
      </c>
      <c r="V212" s="271">
        <f t="shared" ref="V212:W212" si="168">ABS(V142 + V177)*(1-V85)*PowerFactor*$H26</f>
        <v>6.2915291350575846E-3</v>
      </c>
      <c r="W212" s="271">
        <f t="shared" si="168"/>
        <v>6.2915291350575846E-3</v>
      </c>
      <c r="X212" s="271">
        <f t="shared" ref="X212:Y212" si="169">ABS(X142 + X177)*(1-X85)*PowerFactor*$H26</f>
        <v>6.2191433731969021E-3</v>
      </c>
      <c r="Y212" s="271">
        <f t="shared" si="169"/>
        <v>6.2191433731969021E-3</v>
      </c>
      <c r="Z212" s="256"/>
      <c r="AA212" s="256"/>
    </row>
    <row r="213" spans="3:27" x14ac:dyDescent="0.25">
      <c r="F213" t="s">
        <v>197</v>
      </c>
      <c r="G213" t="s">
        <v>273</v>
      </c>
      <c r="H213" s="256"/>
      <c r="I213" s="256"/>
      <c r="J213" s="271">
        <f t="shared" ref="J213:K213" si="170">ABS(J143 + J178)*(1-J86)*PowerFactor*$H27</f>
        <v>0</v>
      </c>
      <c r="K213" s="271">
        <f t="shared" si="170"/>
        <v>0</v>
      </c>
      <c r="L213" s="271">
        <f t="shared" ref="L213:M213" si="171">ABS(L143 + L178)*(1-L86)*PowerFactor*$H27</f>
        <v>0</v>
      </c>
      <c r="M213" s="271">
        <f t="shared" si="171"/>
        <v>0</v>
      </c>
      <c r="N213" s="271">
        <f t="shared" ref="N213:P213" si="172">ABS(N143 + N178)*(1-N86)*PowerFactor*$H27</f>
        <v>0</v>
      </c>
      <c r="O213" s="271">
        <f t="shared" si="172"/>
        <v>0</v>
      </c>
      <c r="P213" s="271">
        <f t="shared" si="172"/>
        <v>0</v>
      </c>
      <c r="Q213" s="271">
        <f t="shared" ref="Q213:S213" si="173">ABS(Q143 + Q178)*(1-Q86)*PowerFactor*$H27</f>
        <v>0</v>
      </c>
      <c r="R213" s="271">
        <f t="shared" si="173"/>
        <v>0</v>
      </c>
      <c r="S213" s="271">
        <f t="shared" si="173"/>
        <v>0</v>
      </c>
      <c r="T213" s="271">
        <f t="shared" ref="T213:U213" si="174">ABS(T143 + T178)*(1-T86)*PowerFactor*$H27</f>
        <v>0</v>
      </c>
      <c r="U213" s="271">
        <f t="shared" si="174"/>
        <v>0</v>
      </c>
      <c r="V213" s="271">
        <f t="shared" ref="V213:W213" si="175">ABS(V143 + V178)*(1-V86)*PowerFactor*$H27</f>
        <v>0</v>
      </c>
      <c r="W213" s="271">
        <f t="shared" si="175"/>
        <v>0</v>
      </c>
      <c r="X213" s="271">
        <f t="shared" ref="X213:Y213" si="176">ABS(X143 + X178)*(1-X86)*PowerFactor*$H27</f>
        <v>0</v>
      </c>
      <c r="Y213" s="271">
        <f t="shared" si="176"/>
        <v>0</v>
      </c>
      <c r="Z213" s="256"/>
      <c r="AA213" s="256"/>
    </row>
    <row r="214" spans="3:27" x14ac:dyDescent="0.25">
      <c r="F214" t="s">
        <v>198</v>
      </c>
      <c r="G214" t="s">
        <v>273</v>
      </c>
      <c r="H214" s="256"/>
      <c r="I214" s="256"/>
      <c r="J214" s="271">
        <f t="shared" ref="J214:K214" si="177">ABS(J144 + J179)*(1-J87)*PowerFactor*$H28</f>
        <v>5.9177904641560745E-2</v>
      </c>
      <c r="K214" s="271">
        <f t="shared" si="177"/>
        <v>5.9177904641560745E-2</v>
      </c>
      <c r="L214" s="271">
        <f t="shared" ref="L214:M214" si="178">ABS(L144 + L179)*(1-L87)*PowerFactor*$H28</f>
        <v>4.8536188074630254E-2</v>
      </c>
      <c r="M214" s="271">
        <f t="shared" si="178"/>
        <v>4.8536188074630254E-2</v>
      </c>
      <c r="N214" s="271">
        <f t="shared" ref="N214:P214" si="179">ABS(N144 + N179)*(1-N87)*PowerFactor*$H28</f>
        <v>3.3229191493048905E-2</v>
      </c>
      <c r="O214" s="271">
        <f t="shared" si="179"/>
        <v>0</v>
      </c>
      <c r="P214" s="271">
        <f t="shared" si="179"/>
        <v>0</v>
      </c>
      <c r="Q214" s="271">
        <f t="shared" ref="Q214:S214" si="180">ABS(Q144 + Q179)*(1-Q87)*PowerFactor*$H28</f>
        <v>5.5029282128639674E-2</v>
      </c>
      <c r="R214" s="271">
        <f t="shared" si="180"/>
        <v>2.9389217861238937E-2</v>
      </c>
      <c r="S214" s="271">
        <f t="shared" si="180"/>
        <v>2.8972546530503032E-2</v>
      </c>
      <c r="T214" s="271">
        <f t="shared" ref="T214:U214" si="181">ABS(T144 + T179)*(1-T87)*PowerFactor*$H28</f>
        <v>2.9389217861238937E-2</v>
      </c>
      <c r="U214" s="271">
        <f t="shared" si="181"/>
        <v>2.9389217861238937E-2</v>
      </c>
      <c r="V214" s="271">
        <f t="shared" ref="V214:W214" si="182">ABS(V144 + V179)*(1-V87)*PowerFactor*$H28</f>
        <v>2.8972546530503032E-2</v>
      </c>
      <c r="W214" s="271">
        <f t="shared" si="182"/>
        <v>2.8972546530503032E-2</v>
      </c>
      <c r="X214" s="271">
        <f t="shared" ref="X214:Y214" si="183">ABS(X144 + X179)*(1-X87)*PowerFactor*$H28</f>
        <v>2.8639209465914309E-2</v>
      </c>
      <c r="Y214" s="271">
        <f t="shared" si="183"/>
        <v>2.8639209465914309E-2</v>
      </c>
      <c r="Z214" s="256"/>
      <c r="AA214" s="256"/>
    </row>
    <row r="215" spans="3:27" x14ac:dyDescent="0.25">
      <c r="F215" t="s">
        <v>199</v>
      </c>
      <c r="G215" t="s">
        <v>273</v>
      </c>
      <c r="H215" s="256"/>
      <c r="I215" s="256"/>
      <c r="J215" s="271">
        <f t="shared" ref="J215:K215" si="184">ABS(J145 + J180)*(1-J88)*PowerFactor*$H29</f>
        <v>2.4279807822170606E-2</v>
      </c>
      <c r="K215" s="271">
        <f t="shared" si="184"/>
        <v>2.4279807822170606E-2</v>
      </c>
      <c r="L215" s="271">
        <f t="shared" ref="L215:M215" si="185">ABS(L145 + L180)*(1-L88)*PowerFactor*$H29</f>
        <v>1.9913670921783942E-2</v>
      </c>
      <c r="M215" s="271">
        <f t="shared" si="185"/>
        <v>1.9913670921783942E-2</v>
      </c>
      <c r="N215" s="271">
        <f t="shared" ref="N215:P215" si="186">ABS(N145 + N180)*(1-N88)*PowerFactor*$H29</f>
        <v>0</v>
      </c>
      <c r="O215" s="271">
        <f t="shared" si="186"/>
        <v>0</v>
      </c>
      <c r="P215" s="271">
        <f t="shared" si="186"/>
        <v>0</v>
      </c>
      <c r="Q215" s="271">
        <f t="shared" ref="Q215:S215" si="187">ABS(Q145 + Q180)*(1-Q88)*PowerFactor*$H29</f>
        <v>2.2577690149188433E-2</v>
      </c>
      <c r="R215" s="271">
        <f t="shared" si="187"/>
        <v>1.2057955854247116E-2</v>
      </c>
      <c r="S215" s="271">
        <f t="shared" si="187"/>
        <v>1.1887001848752118E-2</v>
      </c>
      <c r="T215" s="271">
        <f t="shared" ref="T215:U215" si="188">ABS(T145 + T180)*(1-T88)*PowerFactor*$H29</f>
        <v>1.2057955854247116E-2</v>
      </c>
      <c r="U215" s="271">
        <f t="shared" si="188"/>
        <v>1.2057955854247116E-2</v>
      </c>
      <c r="V215" s="271">
        <f t="shared" ref="V215:W215" si="189">ABS(V145 + V180)*(1-V88)*PowerFactor*$H29</f>
        <v>1.1887001848752118E-2</v>
      </c>
      <c r="W215" s="271">
        <f t="shared" si="189"/>
        <v>1.1887001848752118E-2</v>
      </c>
      <c r="X215" s="271">
        <f t="shared" ref="X215:Y215" si="190">ABS(X145 + X180)*(1-X88)*PowerFactor*$H29</f>
        <v>0</v>
      </c>
      <c r="Y215" s="271">
        <f t="shared" si="190"/>
        <v>0</v>
      </c>
      <c r="Z215" s="256"/>
      <c r="AA215" s="256"/>
    </row>
    <row r="216" spans="3:27" x14ac:dyDescent="0.25">
      <c r="F216" t="s">
        <v>200</v>
      </c>
      <c r="G216" t="s">
        <v>273</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5.571733791406655E-2</v>
      </c>
      <c r="R216" s="271">
        <f t="shared" si="194"/>
        <v>2.9756684428062858E-2</v>
      </c>
      <c r="S216" s="271">
        <f t="shared" si="194"/>
        <v>0</v>
      </c>
      <c r="T216" s="271">
        <f t="shared" ref="T216:U216" si="195">ABS(T146 + T181)*(1-T89)*PowerFactor*$H30</f>
        <v>2.9756684428062858E-2</v>
      </c>
      <c r="U216" s="271">
        <f t="shared" si="195"/>
        <v>2.9756684428062858E-2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273</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273</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190</v>
      </c>
      <c r="G223" s="19" t="s">
        <v>273</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192</v>
      </c>
      <c r="G224" t="s">
        <v>273</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193</v>
      </c>
      <c r="G225" t="s">
        <v>273</v>
      </c>
      <c r="H225" s="256"/>
      <c r="I225" s="256"/>
      <c r="J225" s="271">
        <f t="shared" ref="J225:K225" si="198">J$78 * J195</f>
        <v>0</v>
      </c>
      <c r="K225" s="271">
        <f t="shared" si="198"/>
        <v>0</v>
      </c>
      <c r="L225" s="271">
        <f t="shared" ref="L225:M225" si="199">L$78 * L195</f>
        <v>0</v>
      </c>
      <c r="M225" s="271">
        <f t="shared" si="199"/>
        <v>0</v>
      </c>
      <c r="N225" s="271">
        <f t="shared" ref="N225:P225" si="200">N$78 * N195</f>
        <v>2.7482750444731033E-2</v>
      </c>
      <c r="O225" s="271">
        <f t="shared" si="200"/>
        <v>2.4644795961753365E-2</v>
      </c>
      <c r="P225" s="271">
        <f t="shared" si="200"/>
        <v>2.1359756886569974E-2</v>
      </c>
      <c r="Q225" s="271">
        <f t="shared" ref="Q225:S225" si="201">Q$78 * Q195</f>
        <v>0</v>
      </c>
      <c r="R225" s="271">
        <f t="shared" si="201"/>
        <v>0</v>
      </c>
      <c r="S225" s="271">
        <f t="shared" si="201"/>
        <v>0</v>
      </c>
      <c r="T225" s="271">
        <f t="shared" ref="T225:U225" si="202">T$78 * T195</f>
        <v>1.9445469575513945E-2</v>
      </c>
      <c r="U225" s="271">
        <f t="shared" si="202"/>
        <v>0</v>
      </c>
      <c r="V225" s="271">
        <f t="shared" ref="V225:W225" si="203">V$78 * V195</f>
        <v>1.9169777662817619E-2</v>
      </c>
      <c r="W225" s="271">
        <f t="shared" si="203"/>
        <v>0</v>
      </c>
      <c r="X225" s="271">
        <f t="shared" ref="X225:Y225" si="204">X$78 * X195</f>
        <v>1.8949224132660557E-2</v>
      </c>
      <c r="Y225" s="271">
        <f t="shared" si="204"/>
        <v>0</v>
      </c>
      <c r="Z225" s="256"/>
      <c r="AA225" s="256"/>
    </row>
    <row r="226" spans="5:27" customFormat="1" x14ac:dyDescent="0.25">
      <c r="E226" s="2"/>
      <c r="F226" t="s">
        <v>194</v>
      </c>
      <c r="G226" t="s">
        <v>273</v>
      </c>
      <c r="H226" s="256"/>
      <c r="I226" s="256"/>
      <c r="J226" s="271">
        <f t="shared" ref="J226:K226" si="205">J$78 * J196</f>
        <v>0</v>
      </c>
      <c r="K226" s="271">
        <f t="shared" si="205"/>
        <v>0</v>
      </c>
      <c r="L226" s="271">
        <f t="shared" ref="L226:M226" si="206">L$78 * L196</f>
        <v>0</v>
      </c>
      <c r="M226" s="271">
        <f t="shared" si="206"/>
        <v>0</v>
      </c>
      <c r="N226" s="271">
        <f t="shared" ref="N226:P226" si="207">N$78 * N196</f>
        <v>3.9366697980493031E-3</v>
      </c>
      <c r="O226" s="271">
        <f t="shared" si="207"/>
        <v>3.5301570029109722E-3</v>
      </c>
      <c r="P226" s="271">
        <f t="shared" si="207"/>
        <v>1.0096690394720545E-3</v>
      </c>
      <c r="Q226" s="271">
        <f t="shared" ref="Q226:S226" si="208">Q$78 * Q196</f>
        <v>0</v>
      </c>
      <c r="R226" s="271">
        <f t="shared" si="208"/>
        <v>0</v>
      </c>
      <c r="S226" s="271">
        <f t="shared" si="208"/>
        <v>0</v>
      </c>
      <c r="T226" s="271">
        <f t="shared" ref="T226:U226" si="209">T$78 * T196</f>
        <v>2.7853978058258173E-3</v>
      </c>
      <c r="U226" s="271">
        <f t="shared" si="209"/>
        <v>0</v>
      </c>
      <c r="V226" s="271">
        <f t="shared" ref="V226:W226" si="210">V$78 * V196</f>
        <v>2.7459072887299884E-3</v>
      </c>
      <c r="W226" s="271">
        <f t="shared" si="210"/>
        <v>0</v>
      </c>
      <c r="X226" s="271">
        <f t="shared" ref="X226:Y226" si="211">X$78 * X196</f>
        <v>8.9572390876759716E-4</v>
      </c>
      <c r="Y226" s="271">
        <f t="shared" si="211"/>
        <v>0</v>
      </c>
      <c r="Z226" s="256"/>
      <c r="AA226" s="256"/>
    </row>
    <row r="227" spans="5:27" customFormat="1" x14ac:dyDescent="0.25">
      <c r="E227" s="2"/>
      <c r="F227" t="s">
        <v>195</v>
      </c>
      <c r="G227" t="s">
        <v>273</v>
      </c>
      <c r="H227" s="256"/>
      <c r="I227" s="256"/>
      <c r="J227" s="271">
        <f t="shared" ref="J227:K227" si="212">J$78 * J197</f>
        <v>0</v>
      </c>
      <c r="K227" s="271">
        <f t="shared" si="212"/>
        <v>0</v>
      </c>
      <c r="L227" s="271">
        <f t="shared" ref="L227:M227" si="213">L$78 * L197</f>
        <v>0</v>
      </c>
      <c r="M227" s="271">
        <f t="shared" si="213"/>
        <v>0</v>
      </c>
      <c r="N227" s="271">
        <f t="shared" ref="N227:P227" si="214">N$78 * N197</f>
        <v>1.2588055874319328E-2</v>
      </c>
      <c r="O227" s="271">
        <f t="shared" si="214"/>
        <v>1.1288173983955367E-2</v>
      </c>
      <c r="P227" s="271">
        <f t="shared" si="214"/>
        <v>2.5828471140236331E-3</v>
      </c>
      <c r="Q227" s="271">
        <f t="shared" ref="Q227:S227" si="215">Q$78 * Q197</f>
        <v>0</v>
      </c>
      <c r="R227" s="271">
        <f t="shared" si="215"/>
        <v>0</v>
      </c>
      <c r="S227" s="271">
        <f t="shared" si="215"/>
        <v>0</v>
      </c>
      <c r="T227" s="271">
        <f t="shared" ref="T227:U227" si="216">T$78 * T197</f>
        <v>8.9067016058385507E-3</v>
      </c>
      <c r="U227" s="271">
        <f t="shared" si="216"/>
        <v>0</v>
      </c>
      <c r="V227" s="271">
        <f t="shared" ref="V227:W227" si="217">V$78 * V197</f>
        <v>8.780425118043108E-3</v>
      </c>
      <c r="W227" s="271">
        <f t="shared" si="217"/>
        <v>0</v>
      </c>
      <c r="X227" s="271">
        <f t="shared" ref="X227:Y227" si="218">X$78 * X197</f>
        <v>2.8642032961762281E-3</v>
      </c>
      <c r="Y227" s="271">
        <f t="shared" si="218"/>
        <v>0</v>
      </c>
      <c r="Z227" s="256"/>
      <c r="AA227" s="256"/>
    </row>
    <row r="228" spans="5:27" customFormat="1" x14ac:dyDescent="0.25">
      <c r="E228" s="2"/>
      <c r="F228" t="s">
        <v>196</v>
      </c>
      <c r="G228" t="s">
        <v>273</v>
      </c>
      <c r="H228" s="256"/>
      <c r="I228" s="256"/>
      <c r="J228" s="271">
        <f t="shared" ref="J228:K228" si="219">J$78 * J198</f>
        <v>0</v>
      </c>
      <c r="K228" s="271">
        <f t="shared" si="219"/>
        <v>0</v>
      </c>
      <c r="L228" s="271">
        <f t="shared" ref="L228:M228" si="220">L$78 * L198</f>
        <v>0</v>
      </c>
      <c r="M228" s="271">
        <f t="shared" si="220"/>
        <v>0</v>
      </c>
      <c r="N228" s="271">
        <f t="shared" ref="N228:P228" si="221">N$78 * N198</f>
        <v>1.8917612271114475E-3</v>
      </c>
      <c r="O228" s="271">
        <f t="shared" si="221"/>
        <v>1.6964120656073609E-3</v>
      </c>
      <c r="P228" s="271">
        <f t="shared" si="221"/>
        <v>0</v>
      </c>
      <c r="Q228" s="271">
        <f t="shared" ref="Q228:S228" si="222">Q$78 * Q198</f>
        <v>0</v>
      </c>
      <c r="R228" s="271">
        <f t="shared" si="222"/>
        <v>0</v>
      </c>
      <c r="S228" s="271">
        <f t="shared" si="222"/>
        <v>0</v>
      </c>
      <c r="T228" s="271">
        <f t="shared" ref="T228:U228" si="223">T$78 * T198</f>
        <v>1.3385190634362138E-3</v>
      </c>
      <c r="U228" s="271">
        <f t="shared" si="223"/>
        <v>0</v>
      </c>
      <c r="V228" s="271">
        <f t="shared" ref="V228:W228" si="224">V$78 * V198</f>
        <v>1.3195419500604639E-3</v>
      </c>
      <c r="W228" s="271">
        <f t="shared" si="224"/>
        <v>0</v>
      </c>
      <c r="X228" s="271">
        <f t="shared" ref="X228:Y228" si="225">X$78 * X198</f>
        <v>0</v>
      </c>
      <c r="Y228" s="271">
        <f t="shared" si="225"/>
        <v>0</v>
      </c>
      <c r="Z228" s="256"/>
      <c r="AA228" s="256"/>
    </row>
    <row r="229" spans="5:27" customFormat="1" x14ac:dyDescent="0.25">
      <c r="E229" s="2"/>
      <c r="F229" t="s">
        <v>197</v>
      </c>
      <c r="G229" t="s">
        <v>273</v>
      </c>
      <c r="H229" s="256"/>
      <c r="I229" s="256"/>
      <c r="J229" s="271">
        <f t="shared" ref="J229:K229" si="226">J$78 * J199</f>
        <v>0</v>
      </c>
      <c r="K229" s="271">
        <f t="shared" si="226"/>
        <v>0</v>
      </c>
      <c r="L229" s="271">
        <f t="shared" ref="L229:M229" si="227">L$78 * L199</f>
        <v>0</v>
      </c>
      <c r="M229" s="271">
        <f t="shared" si="227"/>
        <v>0</v>
      </c>
      <c r="N229" s="271">
        <f t="shared" ref="N229:P229" si="228">N$78 * N199</f>
        <v>0</v>
      </c>
      <c r="O229" s="271">
        <f t="shared" si="228"/>
        <v>0</v>
      </c>
      <c r="P229" s="271">
        <f t="shared" si="228"/>
        <v>0</v>
      </c>
      <c r="Q229" s="271">
        <f t="shared" ref="Q229:S229" si="229">Q$78 * Q199</f>
        <v>0</v>
      </c>
      <c r="R229" s="271">
        <f t="shared" si="229"/>
        <v>0</v>
      </c>
      <c r="S229" s="271">
        <f t="shared" si="229"/>
        <v>0</v>
      </c>
      <c r="T229" s="271">
        <f t="shared" ref="T229:U229" si="230">T$78 * T199</f>
        <v>0</v>
      </c>
      <c r="U229" s="271">
        <f t="shared" si="230"/>
        <v>0</v>
      </c>
      <c r="V229" s="271">
        <f t="shared" ref="V229:W229" si="231">V$78 * V199</f>
        <v>0</v>
      </c>
      <c r="W229" s="271">
        <f t="shared" si="231"/>
        <v>0</v>
      </c>
      <c r="X229" s="271">
        <f t="shared" ref="X229:Y229" si="232">X$78 * X199</f>
        <v>0</v>
      </c>
      <c r="Y229" s="271">
        <f t="shared" si="232"/>
        <v>0</v>
      </c>
      <c r="Z229" s="256"/>
      <c r="AA229" s="256"/>
    </row>
    <row r="230" spans="5:27" customFormat="1" x14ac:dyDescent="0.25">
      <c r="E230" s="2"/>
      <c r="F230" t="s">
        <v>198</v>
      </c>
      <c r="G230" t="s">
        <v>273</v>
      </c>
      <c r="H230" s="256"/>
      <c r="I230" s="256"/>
      <c r="J230" s="271">
        <f t="shared" ref="J230:K230" si="233">J$78 * J200</f>
        <v>0</v>
      </c>
      <c r="K230" s="271">
        <f t="shared" si="233"/>
        <v>0</v>
      </c>
      <c r="L230" s="271">
        <f t="shared" ref="L230:M230" si="234">L$78 * L200</f>
        <v>0</v>
      </c>
      <c r="M230" s="271">
        <f t="shared" si="234"/>
        <v>0</v>
      </c>
      <c r="N230" s="271">
        <f t="shared" ref="N230:P230" si="235">N$78 * N200</f>
        <v>6.9692615579485875E-3</v>
      </c>
      <c r="O230" s="271">
        <f t="shared" si="235"/>
        <v>0</v>
      </c>
      <c r="P230" s="271">
        <f t="shared" si="235"/>
        <v>0</v>
      </c>
      <c r="Q230" s="271">
        <f t="shared" ref="Q230:S230" si="236">Q$78 * Q200</f>
        <v>0</v>
      </c>
      <c r="R230" s="271">
        <f t="shared" si="236"/>
        <v>0</v>
      </c>
      <c r="S230" s="271">
        <f t="shared" si="236"/>
        <v>0</v>
      </c>
      <c r="T230" s="271">
        <f t="shared" ref="T230:U230" si="237">T$78 * T200</f>
        <v>6.1638919593139758E-3</v>
      </c>
      <c r="U230" s="271">
        <f t="shared" si="237"/>
        <v>0</v>
      </c>
      <c r="V230" s="271">
        <f t="shared" ref="V230:W230" si="238">V$78 * V200</f>
        <v>6.0765021867339097E-3</v>
      </c>
      <c r="W230" s="271">
        <f t="shared" si="238"/>
        <v>0</v>
      </c>
      <c r="X230" s="271">
        <f t="shared" ref="X230:Y230" si="239">X$78 * X200</f>
        <v>0</v>
      </c>
      <c r="Y230" s="271">
        <f t="shared" si="239"/>
        <v>0</v>
      </c>
      <c r="Z230" s="256"/>
      <c r="AA230" s="256"/>
    </row>
    <row r="231" spans="5:27" customFormat="1" x14ac:dyDescent="0.25">
      <c r="E231" s="2"/>
      <c r="F231" t="s">
        <v>199</v>
      </c>
      <c r="G231" t="s">
        <v>273</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6.6551382610951246E-4</v>
      </c>
      <c r="U231" s="271">
        <f t="shared" si="244"/>
        <v>0</v>
      </c>
      <c r="V231" s="271">
        <f t="shared" ref="V231:W231" si="245">V$78 * V201</f>
        <v>6.5607837488867798E-4</v>
      </c>
      <c r="W231" s="271">
        <f t="shared" si="245"/>
        <v>0</v>
      </c>
      <c r="X231" s="271">
        <f t="shared" ref="X231:Y231" si="246">X$78 * X201</f>
        <v>0</v>
      </c>
      <c r="Y231" s="271">
        <f t="shared" si="246"/>
        <v>0</v>
      </c>
      <c r="Z231" s="256"/>
      <c r="AA231" s="256"/>
    </row>
    <row r="232" spans="5:27" customFormat="1" x14ac:dyDescent="0.25">
      <c r="E232" s="2"/>
      <c r="F232" t="s">
        <v>200</v>
      </c>
      <c r="G232" t="s">
        <v>273</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1.6423583852380891E-3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273</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273</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190</v>
      </c>
      <c r="G237" s="19" t="s">
        <v>273</v>
      </c>
      <c r="H237" s="255"/>
      <c r="I237" s="255"/>
      <c r="J237" s="270">
        <f t="shared" ref="J237:K237" si="254">J$78 * J207</f>
        <v>0</v>
      </c>
      <c r="K237" s="270">
        <f t="shared" si="254"/>
        <v>0</v>
      </c>
      <c r="L237" s="270">
        <f t="shared" ref="L237:M237" si="255">L$78 * L207</f>
        <v>0</v>
      </c>
      <c r="M237" s="270">
        <f t="shared" si="255"/>
        <v>0</v>
      </c>
      <c r="N237" s="270">
        <f t="shared" ref="N237:P237" si="256">N$78 * N207</f>
        <v>8.7582774858437108E-3</v>
      </c>
      <c r="O237" s="270">
        <f t="shared" si="256"/>
        <v>7.8538704504526116E-3</v>
      </c>
      <c r="P237" s="270">
        <f t="shared" si="256"/>
        <v>6.8069852840586687E-3</v>
      </c>
      <c r="Q237" s="270">
        <f t="shared" ref="Q237:S237" si="257">Q$78 * Q207</f>
        <v>0</v>
      </c>
      <c r="R237" s="270">
        <f t="shared" si="257"/>
        <v>0</v>
      </c>
      <c r="S237" s="270">
        <f t="shared" si="257"/>
        <v>0</v>
      </c>
      <c r="T237" s="270">
        <f t="shared" ref="T237:U237" si="258">T$78 * T207</f>
        <v>6.1969350093754559E-3</v>
      </c>
      <c r="U237" s="270">
        <f t="shared" si="258"/>
        <v>0</v>
      </c>
      <c r="V237" s="270">
        <f t="shared" ref="V237:W237" si="259">V$78 * V207</f>
        <v>6.1090767625506604E-3</v>
      </c>
      <c r="W237" s="270">
        <f t="shared" si="259"/>
        <v>0</v>
      </c>
      <c r="X237" s="270">
        <f t="shared" ref="X237:Y237" si="260">X$78 * X207</f>
        <v>6.038790165090826E-3</v>
      </c>
      <c r="Y237" s="270">
        <f t="shared" si="260"/>
        <v>0</v>
      </c>
      <c r="Z237" s="256"/>
      <c r="AA237" s="256"/>
    </row>
    <row r="238" spans="5:27" customFormat="1" x14ac:dyDescent="0.25">
      <c r="E238" s="2"/>
      <c r="F238" t="s">
        <v>192</v>
      </c>
      <c r="G238" t="s">
        <v>273</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193</v>
      </c>
      <c r="G239" t="s">
        <v>273</v>
      </c>
      <c r="H239" s="256"/>
      <c r="I239" s="256"/>
      <c r="J239" s="271">
        <f t="shared" ref="J239:K239" si="268">J$78 * J209</f>
        <v>0</v>
      </c>
      <c r="K239" s="271">
        <f t="shared" si="268"/>
        <v>0</v>
      </c>
      <c r="L239" s="271">
        <f t="shared" ref="L239:M239" si="269">L$78 * L209</f>
        <v>0</v>
      </c>
      <c r="M239" s="271">
        <f t="shared" si="269"/>
        <v>0</v>
      </c>
      <c r="N239" s="271">
        <f t="shared" ref="N239:P239" si="270">N$78 * N209</f>
        <v>2.4896987757045252E-2</v>
      </c>
      <c r="O239" s="271">
        <f t="shared" si="270"/>
        <v>2.2326047189803262E-2</v>
      </c>
      <c r="P239" s="271">
        <f t="shared" si="270"/>
        <v>1.9350086766892385E-2</v>
      </c>
      <c r="Q239" s="271">
        <f t="shared" ref="Q239:S239" si="271">Q$78 * Q209</f>
        <v>0</v>
      </c>
      <c r="R239" s="271">
        <f t="shared" si="271"/>
        <v>0</v>
      </c>
      <c r="S239" s="271">
        <f t="shared" si="271"/>
        <v>0</v>
      </c>
      <c r="T239" s="271">
        <f t="shared" ref="T239:U239" si="272">T$78 * T209</f>
        <v>1.7615908528703473E-2</v>
      </c>
      <c r="U239" s="271">
        <f t="shared" si="272"/>
        <v>0</v>
      </c>
      <c r="V239" s="271">
        <f t="shared" ref="V239:W239" si="273">V$78 * V209</f>
        <v>1.7366155572247369E-2</v>
      </c>
      <c r="W239" s="271">
        <f t="shared" si="273"/>
        <v>0</v>
      </c>
      <c r="X239" s="271">
        <f t="shared" ref="X239:Y239" si="274">X$78 * X209</f>
        <v>1.7166353207082492E-2</v>
      </c>
      <c r="Y239" s="271">
        <f t="shared" si="274"/>
        <v>0</v>
      </c>
      <c r="Z239" s="256"/>
      <c r="AA239" s="256"/>
    </row>
    <row r="240" spans="5:27" customFormat="1" x14ac:dyDescent="0.25">
      <c r="E240" s="2"/>
      <c r="F240" t="s">
        <v>194</v>
      </c>
      <c r="G240" t="s">
        <v>273</v>
      </c>
      <c r="H240" s="256"/>
      <c r="I240" s="256"/>
      <c r="J240" s="271">
        <f t="shared" ref="J240:K240" si="275">J$78 * J210</f>
        <v>0</v>
      </c>
      <c r="K240" s="271">
        <f t="shared" si="275"/>
        <v>0</v>
      </c>
      <c r="L240" s="271">
        <f t="shared" ref="L240:M240" si="276">L$78 * L210</f>
        <v>0</v>
      </c>
      <c r="M240" s="271">
        <f t="shared" si="276"/>
        <v>0</v>
      </c>
      <c r="N240" s="271">
        <f t="shared" ref="N240:P240" si="277">N$78 * N210</f>
        <v>3.5662813284524772E-3</v>
      </c>
      <c r="O240" s="271">
        <f t="shared" si="277"/>
        <v>3.1980160012977255E-3</v>
      </c>
      <c r="P240" s="271">
        <f t="shared" si="277"/>
        <v>2.771735031326274E-3</v>
      </c>
      <c r="Q240" s="271">
        <f t="shared" ref="Q240:S240" si="278">Q$78 * Q210</f>
        <v>0</v>
      </c>
      <c r="R240" s="271">
        <f t="shared" si="278"/>
        <v>0</v>
      </c>
      <c r="S240" s="271">
        <f t="shared" si="278"/>
        <v>0</v>
      </c>
      <c r="T240" s="271">
        <f t="shared" ref="T240:U240" si="279">T$78 * T210</f>
        <v>2.5233287770671962E-3</v>
      </c>
      <c r="U240" s="271">
        <f t="shared" si="279"/>
        <v>0</v>
      </c>
      <c r="V240" s="271">
        <f t="shared" ref="V240:W240" si="280">V$78 * V210</f>
        <v>2.487553794405563E-3</v>
      </c>
      <c r="W240" s="271">
        <f t="shared" si="280"/>
        <v>0</v>
      </c>
      <c r="X240" s="271">
        <f t="shared" ref="X240:Y240" si="281">X$78 * X210</f>
        <v>2.4589338082762566E-3</v>
      </c>
      <c r="Y240" s="271">
        <f t="shared" si="281"/>
        <v>0</v>
      </c>
      <c r="Z240" s="256"/>
      <c r="AA240" s="256"/>
    </row>
    <row r="241" spans="2:27" x14ac:dyDescent="0.25">
      <c r="D241"/>
      <c r="F241" t="s">
        <v>195</v>
      </c>
      <c r="G241" t="s">
        <v>273</v>
      </c>
      <c r="H241" s="256"/>
      <c r="I241" s="256"/>
      <c r="J241" s="271">
        <f t="shared" ref="J241:K241" si="282">J$78 * J211</f>
        <v>0</v>
      </c>
      <c r="K241" s="271">
        <f t="shared" si="282"/>
        <v>0</v>
      </c>
      <c r="L241" s="271">
        <f t="shared" ref="L241:M241" si="283">L$78 * L211</f>
        <v>0</v>
      </c>
      <c r="M241" s="271">
        <f t="shared" si="283"/>
        <v>0</v>
      </c>
      <c r="N241" s="271">
        <f t="shared" ref="N241:P241" si="284">N$78 * N211</f>
        <v>1.1403686600371381E-2</v>
      </c>
      <c r="O241" s="271">
        <f t="shared" si="284"/>
        <v>1.0226106373272932E-2</v>
      </c>
      <c r="P241" s="271">
        <f t="shared" si="284"/>
        <v>7.0904103687705619E-3</v>
      </c>
      <c r="Q241" s="271">
        <f t="shared" ref="Q241:S241" si="285">Q$78 * Q211</f>
        <v>0</v>
      </c>
      <c r="R241" s="271">
        <f t="shared" si="285"/>
        <v>0</v>
      </c>
      <c r="S241" s="271">
        <f t="shared" si="285"/>
        <v>0</v>
      </c>
      <c r="T241" s="271">
        <f t="shared" ref="T241:U241" si="286">T$78 * T211</f>
        <v>8.0686989929252655E-3</v>
      </c>
      <c r="U241" s="271">
        <f t="shared" si="286"/>
        <v>0</v>
      </c>
      <c r="V241" s="271">
        <f t="shared" ref="V241:W241" si="287">V$78 * V211</f>
        <v>7.9543034495473067E-3</v>
      </c>
      <c r="W241" s="271">
        <f t="shared" si="287"/>
        <v>0</v>
      </c>
      <c r="X241" s="271">
        <f t="shared" ref="X241:Y241" si="288">X$78 * X211</f>
        <v>7.8627870148449408E-3</v>
      </c>
      <c r="Y241" s="271">
        <f t="shared" si="288"/>
        <v>0</v>
      </c>
      <c r="Z241" s="256"/>
      <c r="AA241" s="256"/>
    </row>
    <row r="242" spans="2:27" x14ac:dyDescent="0.25">
      <c r="D242"/>
      <c r="F242" t="s">
        <v>196</v>
      </c>
      <c r="G242" t="s">
        <v>273</v>
      </c>
      <c r="H242" s="256"/>
      <c r="I242" s="256"/>
      <c r="J242" s="271">
        <f t="shared" ref="J242:K242" si="289">J$78 * J212</f>
        <v>0</v>
      </c>
      <c r="K242" s="271">
        <f t="shared" si="289"/>
        <v>0</v>
      </c>
      <c r="L242" s="271">
        <f t="shared" ref="L242:M242" si="290">L$78 * L212</f>
        <v>0</v>
      </c>
      <c r="M242" s="271">
        <f t="shared" si="290"/>
        <v>0</v>
      </c>
      <c r="N242" s="271">
        <f t="shared" ref="N242:P242" si="291">N$78 * N212</f>
        <v>9.0198503173003208E-3</v>
      </c>
      <c r="O242" s="271">
        <f t="shared" si="291"/>
        <v>8.088432455931294E-3</v>
      </c>
      <c r="P242" s="271">
        <f t="shared" si="291"/>
        <v>0</v>
      </c>
      <c r="Q242" s="271">
        <f t="shared" ref="Q242:S242" si="292">Q$78 * Q212</f>
        <v>0</v>
      </c>
      <c r="R242" s="271">
        <f t="shared" si="292"/>
        <v>0</v>
      </c>
      <c r="S242" s="271">
        <f t="shared" si="292"/>
        <v>0</v>
      </c>
      <c r="T242" s="271">
        <f t="shared" ref="T242:U242" si="293">T$78 * T212</f>
        <v>6.3820113373834371E-3</v>
      </c>
      <c r="U242" s="271">
        <f t="shared" si="293"/>
        <v>0</v>
      </c>
      <c r="V242" s="271">
        <f t="shared" ref="V242:W242" si="294">V$78 * V212</f>
        <v>6.2915291350575846E-3</v>
      </c>
      <c r="W242" s="271">
        <f t="shared" si="294"/>
        <v>0</v>
      </c>
      <c r="X242" s="271">
        <f t="shared" ref="X242:Y242" si="295">X$78 * X212</f>
        <v>6.2191433731969021E-3</v>
      </c>
      <c r="Y242" s="271">
        <f t="shared" si="295"/>
        <v>0</v>
      </c>
      <c r="Z242" s="256"/>
      <c r="AA242" s="256"/>
    </row>
    <row r="243" spans="2:27" x14ac:dyDescent="0.25">
      <c r="D243"/>
      <c r="F243" t="s">
        <v>197</v>
      </c>
      <c r="G243" t="s">
        <v>273</v>
      </c>
      <c r="H243" s="256"/>
      <c r="I243" s="256"/>
      <c r="J243" s="271">
        <f t="shared" ref="J243:K243" si="296">J$78 * J213</f>
        <v>0</v>
      </c>
      <c r="K243" s="271">
        <f t="shared" si="296"/>
        <v>0</v>
      </c>
      <c r="L243" s="271">
        <f t="shared" ref="L243:M243" si="297">L$78 * L213</f>
        <v>0</v>
      </c>
      <c r="M243" s="271">
        <f t="shared" si="297"/>
        <v>0</v>
      </c>
      <c r="N243" s="271">
        <f t="shared" ref="N243:P243" si="298">N$78 * N213</f>
        <v>0</v>
      </c>
      <c r="O243" s="271">
        <f t="shared" si="298"/>
        <v>0</v>
      </c>
      <c r="P243" s="271">
        <f t="shared" si="298"/>
        <v>0</v>
      </c>
      <c r="Q243" s="271">
        <f t="shared" ref="Q243:S243" si="299">Q$78 * Q213</f>
        <v>0</v>
      </c>
      <c r="R243" s="271">
        <f t="shared" si="299"/>
        <v>0</v>
      </c>
      <c r="S243" s="271">
        <f t="shared" si="299"/>
        <v>0</v>
      </c>
      <c r="T243" s="271">
        <f t="shared" ref="T243:U243" si="300">T$78 * T213</f>
        <v>0</v>
      </c>
      <c r="U243" s="271">
        <f t="shared" si="300"/>
        <v>0</v>
      </c>
      <c r="V243" s="271">
        <f t="shared" ref="V243:W243" si="301">V$78 * V213</f>
        <v>0</v>
      </c>
      <c r="W243" s="271">
        <f t="shared" si="301"/>
        <v>0</v>
      </c>
      <c r="X243" s="271">
        <f t="shared" ref="X243:Y243" si="302">X$78 * X213</f>
        <v>0</v>
      </c>
      <c r="Y243" s="271">
        <f t="shared" si="302"/>
        <v>0</v>
      </c>
      <c r="Z243" s="256"/>
      <c r="AA243" s="256"/>
    </row>
    <row r="244" spans="2:27" x14ac:dyDescent="0.25">
      <c r="D244"/>
      <c r="F244" t="s">
        <v>198</v>
      </c>
      <c r="G244" t="s">
        <v>273</v>
      </c>
      <c r="H244" s="256"/>
      <c r="I244" s="256"/>
      <c r="J244" s="271">
        <f t="shared" ref="J244:K244" si="303">J$78 * J214</f>
        <v>0</v>
      </c>
      <c r="K244" s="271">
        <f t="shared" si="303"/>
        <v>0</v>
      </c>
      <c r="L244" s="271">
        <f t="shared" ref="L244:M244" si="304">L$78 * L214</f>
        <v>0</v>
      </c>
      <c r="M244" s="271">
        <f t="shared" si="304"/>
        <v>0</v>
      </c>
      <c r="N244" s="271">
        <f t="shared" ref="N244:P244" si="305">N$78 * N214</f>
        <v>3.3229191493048905E-2</v>
      </c>
      <c r="O244" s="271">
        <f t="shared" si="305"/>
        <v>0</v>
      </c>
      <c r="P244" s="271">
        <f t="shared" si="305"/>
        <v>0</v>
      </c>
      <c r="Q244" s="271">
        <f t="shared" ref="Q244:S244" si="306">Q$78 * Q214</f>
        <v>0</v>
      </c>
      <c r="R244" s="271">
        <f t="shared" si="306"/>
        <v>0</v>
      </c>
      <c r="S244" s="271">
        <f t="shared" si="306"/>
        <v>0</v>
      </c>
      <c r="T244" s="271">
        <f t="shared" ref="T244:U244" si="307">T$78 * T214</f>
        <v>2.9389217861238937E-2</v>
      </c>
      <c r="U244" s="271">
        <f t="shared" si="307"/>
        <v>0</v>
      </c>
      <c r="V244" s="271">
        <f t="shared" ref="V244:W244" si="308">V$78 * V214</f>
        <v>2.8972546530503032E-2</v>
      </c>
      <c r="W244" s="271">
        <f t="shared" si="308"/>
        <v>0</v>
      </c>
      <c r="X244" s="271">
        <f t="shared" ref="X244:Y244" si="309">X$78 * X214</f>
        <v>2.8639209465914309E-2</v>
      </c>
      <c r="Y244" s="271">
        <f t="shared" si="309"/>
        <v>0</v>
      </c>
      <c r="Z244" s="256"/>
      <c r="AA244" s="256"/>
    </row>
    <row r="245" spans="2:27" x14ac:dyDescent="0.25">
      <c r="D245"/>
      <c r="F245" t="s">
        <v>199</v>
      </c>
      <c r="G245" t="s">
        <v>273</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1.2057955854247116E-2</v>
      </c>
      <c r="U245" s="271">
        <f t="shared" si="314"/>
        <v>0</v>
      </c>
      <c r="V245" s="271">
        <f t="shared" ref="V245:W245" si="315">V$78 * V215</f>
        <v>1.1887001848752118E-2</v>
      </c>
      <c r="W245" s="271">
        <f t="shared" si="315"/>
        <v>0</v>
      </c>
      <c r="X245" s="271">
        <f t="shared" ref="X245:Y245" si="316">X$78 * X215</f>
        <v>0</v>
      </c>
      <c r="Y245" s="271">
        <f t="shared" si="316"/>
        <v>0</v>
      </c>
      <c r="Z245" s="256"/>
      <c r="AA245" s="256"/>
    </row>
    <row r="246" spans="2:27" x14ac:dyDescent="0.25">
      <c r="D246"/>
      <c r="F246" t="s">
        <v>200</v>
      </c>
      <c r="G246" t="s">
        <v>273</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2.9756684428062858E-2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273</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273</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273</v>
      </c>
      <c r="H250" s="256"/>
      <c r="I250" s="256" t="s">
        <v>155</v>
      </c>
      <c r="J250" s="261">
        <f t="shared" ref="J250:K250" si="324">SUM(J223:J234,J237:J248)</f>
        <v>0</v>
      </c>
      <c r="K250" s="261">
        <f t="shared" si="324"/>
        <v>0</v>
      </c>
      <c r="L250" s="261">
        <f t="shared" ref="L250:M250" si="325">SUM(L223:L234,L237:L248)</f>
        <v>0</v>
      </c>
      <c r="M250" s="261">
        <f t="shared" si="325"/>
        <v>0</v>
      </c>
      <c r="N250" s="261">
        <f t="shared" ref="N250:P250" si="326">SUM(N223:N234,N237:N248)</f>
        <v>0.14374277388422174</v>
      </c>
      <c r="O250" s="261">
        <f t="shared" si="326"/>
        <v>9.2852011484984898E-2</v>
      </c>
      <c r="P250" s="261">
        <f t="shared" si="326"/>
        <v>6.0971490491113549E-2</v>
      </c>
      <c r="Q250" s="261">
        <f t="shared" ref="Q250:S250" si="327">SUM(Q223:Q234,Q237:Q248)</f>
        <v>0</v>
      </c>
      <c r="R250" s="261">
        <f t="shared" si="327"/>
        <v>0</v>
      </c>
      <c r="S250" s="261">
        <f t="shared" si="327"/>
        <v>0</v>
      </c>
      <c r="T250" s="261">
        <f t="shared" ref="T250:U250" si="328">SUM(T223:T234,T237:T248)</f>
        <v>0.15293859301027984</v>
      </c>
      <c r="U250" s="261">
        <f t="shared" si="328"/>
        <v>0</v>
      </c>
      <c r="V250" s="261">
        <f t="shared" ref="V250:W250" si="329">SUM(V223:V234,V237:V248)</f>
        <v>0.11981639967433741</v>
      </c>
      <c r="W250" s="261">
        <f t="shared" si="329"/>
        <v>0</v>
      </c>
      <c r="X250" s="261">
        <f t="shared" ref="X250:Y250" si="330">SUM(X223:X234,X237:X248)</f>
        <v>9.1094368372010112E-2</v>
      </c>
      <c r="Y250" s="261">
        <f t="shared" si="330"/>
        <v>0</v>
      </c>
      <c r="Z250" s="256"/>
      <c r="AA250" s="256" t="s">
        <v>682</v>
      </c>
    </row>
    <row r="251" spans="2:27" x14ac:dyDescent="0.25">
      <c r="C251" s="78"/>
    </row>
    <row r="252" spans="2:27" x14ac:dyDescent="0.25">
      <c r="B252" s="25" t="s">
        <v>232</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233</v>
      </c>
      <c r="G254" s="6" t="s">
        <v>56</v>
      </c>
      <c r="H254" s="93">
        <f t="array" ref="H254">SUM(IF(ISERROR(H21:Y250), 1))</f>
        <v>0</v>
      </c>
    </row>
    <row r="256" spans="2:27" x14ac:dyDescent="0.25">
      <c r="B256" s="25" t="s">
        <v>107</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155</v>
      </c>
      <c r="AA17" t="s">
        <v>720</v>
      </c>
    </row>
    <row r="18" spans="3:27" x14ac:dyDescent="0.25">
      <c r="C18" s="78"/>
      <c r="E18" t="s">
        <v>548</v>
      </c>
      <c r="G18" t="s">
        <v>213</v>
      </c>
      <c r="J18" s="110">
        <f>'Volume adjustments'!J275</f>
        <v>1535048.510066451</v>
      </c>
      <c r="K18" s="110">
        <f>'Volume adjustments'!K275</f>
        <v>0</v>
      </c>
      <c r="L18" s="110">
        <f>'Volume adjustments'!L275</f>
        <v>146860.14867252336</v>
      </c>
      <c r="M18" s="110">
        <f>'Volume adjustments'!M275</f>
        <v>0</v>
      </c>
      <c r="N18" s="110">
        <f>'Volume adjustments'!N275</f>
        <v>8091.7667138307979</v>
      </c>
      <c r="O18" s="110">
        <f>'Volume adjustments'!O275</f>
        <v>1734.6014350681921</v>
      </c>
      <c r="P18" s="110">
        <f>'Volume adjustments'!P275</f>
        <v>1127.5786275883395</v>
      </c>
      <c r="Q18" s="110">
        <f>'Volume adjustments'!Q275</f>
        <v>2539</v>
      </c>
      <c r="R18" s="110">
        <f>'Volume adjustments'!R275</f>
        <v>0</v>
      </c>
      <c r="S18" s="110">
        <f>'Volume adjustments'!S275</f>
        <v>0</v>
      </c>
      <c r="T18" s="110">
        <f>'Volume adjustments'!T275</f>
        <v>0</v>
      </c>
      <c r="U18" s="110">
        <f>'Volume adjustments'!U275</f>
        <v>0</v>
      </c>
      <c r="V18" s="110">
        <f>'Volume adjustments'!V275</f>
        <v>0</v>
      </c>
      <c r="W18" s="110">
        <f>'Volume adjustments'!W275</f>
        <v>0</v>
      </c>
      <c r="X18" s="110">
        <f>'Volume adjustments'!X275</f>
        <v>272.95468099853321</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173</v>
      </c>
      <c r="H20" s="53"/>
      <c r="J20" s="110">
        <f>'System peak demand'!J200</f>
        <v>1354.5034939642301</v>
      </c>
      <c r="K20" s="110">
        <f>'System peak demand'!K200</f>
        <v>22.428758050721136</v>
      </c>
      <c r="L20" s="110">
        <f>'System peak demand'!L200</f>
        <v>476.84704110389299</v>
      </c>
      <c r="M20" s="110">
        <f>'System peak demand'!M200</f>
        <v>8.6498365916565625</v>
      </c>
      <c r="N20" s="110">
        <f>'System peak demand'!N200</f>
        <v>274.75652474314137</v>
      </c>
      <c r="O20" s="110">
        <f>'System peak demand'!O200</f>
        <v>125.03457976681619</v>
      </c>
      <c r="P20" s="110">
        <f>'System peak demand'!P200</f>
        <v>343.66147545676409</v>
      </c>
      <c r="Q20" s="110">
        <f>'System peak demand'!Q200</f>
        <v>23.018312847576613</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155</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190</v>
      </c>
      <c r="G25" s="19" t="s">
        <v>272</v>
      </c>
      <c r="H25" s="19"/>
      <c r="I25" s="19"/>
      <c r="J25" s="73"/>
      <c r="K25" s="73"/>
      <c r="L25" s="73"/>
      <c r="M25" s="73"/>
      <c r="N25" s="73"/>
      <c r="O25" s="73"/>
      <c r="P25" s="73"/>
      <c r="Q25" s="73"/>
      <c r="R25" s="73"/>
      <c r="S25" s="73"/>
      <c r="T25" s="73"/>
      <c r="U25" s="73"/>
      <c r="V25" s="73"/>
      <c r="W25" s="73"/>
      <c r="X25" s="73"/>
      <c r="Y25" s="73"/>
    </row>
    <row r="26" spans="3:27" x14ac:dyDescent="0.25">
      <c r="C26" s="78"/>
      <c r="E26" s="24"/>
      <c r="F26" t="s">
        <v>192</v>
      </c>
      <c r="G26" t="s">
        <v>272</v>
      </c>
      <c r="J26" s="69"/>
      <c r="K26" s="69"/>
      <c r="L26" s="69"/>
      <c r="M26" s="69"/>
      <c r="N26" s="69"/>
      <c r="O26" s="69"/>
      <c r="P26" s="69"/>
      <c r="Q26" s="69"/>
      <c r="R26" s="69"/>
      <c r="S26" s="69"/>
      <c r="T26" s="69"/>
      <c r="U26" s="69"/>
      <c r="V26" s="69"/>
      <c r="W26" s="69"/>
      <c r="X26" s="69"/>
      <c r="Y26" s="69"/>
    </row>
    <row r="27" spans="3:27" x14ac:dyDescent="0.25">
      <c r="C27" s="78"/>
      <c r="E27" s="24"/>
      <c r="F27" t="s">
        <v>193</v>
      </c>
      <c r="G27" t="s">
        <v>272</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194</v>
      </c>
      <c r="G28" t="s">
        <v>272</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195</v>
      </c>
      <c r="G29" t="s">
        <v>272</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196</v>
      </c>
      <c r="G30" t="s">
        <v>272</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197</v>
      </c>
      <c r="G31" t="s">
        <v>272</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198</v>
      </c>
      <c r="G32" t="s">
        <v>272</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199</v>
      </c>
      <c r="G33" t="s">
        <v>272</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200</v>
      </c>
      <c r="G34" t="s">
        <v>272</v>
      </c>
      <c r="J34" s="110">
        <f>'Capacity charges'!J271</f>
        <v>0.16481440997718969</v>
      </c>
      <c r="K34" s="110">
        <f>'Capacity charges'!K271</f>
        <v>0</v>
      </c>
      <c r="L34" s="110">
        <f>'Capacity charges'!L271</f>
        <v>0.16481440997718969</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272</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272</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190</v>
      </c>
      <c r="G39" s="19" t="s">
        <v>272</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192</v>
      </c>
      <c r="G40" t="s">
        <v>272</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193</v>
      </c>
      <c r="G41" t="s">
        <v>272</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194</v>
      </c>
      <c r="G42" t="s">
        <v>272</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195</v>
      </c>
      <c r="G43" t="s">
        <v>272</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196</v>
      </c>
      <c r="G44" t="s">
        <v>272</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197</v>
      </c>
      <c r="G45" t="s">
        <v>272</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198</v>
      </c>
      <c r="G46" t="s">
        <v>272</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199</v>
      </c>
      <c r="G47" t="s">
        <v>272</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200</v>
      </c>
      <c r="G48" t="s">
        <v>272</v>
      </c>
      <c r="J48" s="110">
        <f>'Capacity charges'!J285</f>
        <v>2.9861511537127985</v>
      </c>
      <c r="K48" s="110">
        <f>'Capacity charges'!K285</f>
        <v>0</v>
      </c>
      <c r="L48" s="110">
        <f>'Capacity charges'!L285</f>
        <v>2.9861511537127985</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272</v>
      </c>
      <c r="J49" s="69"/>
      <c r="K49" s="69"/>
      <c r="L49" s="69"/>
      <c r="M49" s="69"/>
      <c r="N49" s="69"/>
      <c r="O49" s="69"/>
      <c r="P49" s="69"/>
      <c r="Q49" s="69"/>
      <c r="R49" s="69"/>
      <c r="S49" s="69"/>
      <c r="T49" s="69"/>
      <c r="U49" s="69"/>
      <c r="V49" s="69"/>
      <c r="W49" s="69"/>
      <c r="X49" s="69"/>
      <c r="Y49" s="69"/>
    </row>
    <row r="50" spans="3:27" x14ac:dyDescent="0.25">
      <c r="C50" s="78"/>
      <c r="F50" s="28" t="s">
        <v>376</v>
      </c>
      <c r="G50" s="28" t="s">
        <v>272</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155</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271</v>
      </c>
      <c r="H55" s="19"/>
      <c r="I55" s="19"/>
      <c r="J55" s="114">
        <f>'Service model charges'!J42</f>
        <v>2.8335139710705972</v>
      </c>
      <c r="K55" s="114">
        <f>'Service model charges'!K42</f>
        <v>0</v>
      </c>
      <c r="L55" s="114">
        <f>'Service model charges'!L42</f>
        <v>8.308249112469289</v>
      </c>
      <c r="M55" s="114">
        <f>'Service model charges'!M42</f>
        <v>0</v>
      </c>
      <c r="N55" s="114">
        <f>'Service model charges'!N42</f>
        <v>16.57610077681834</v>
      </c>
      <c r="O55" s="114">
        <f>'Service model charges'!O42</f>
        <v>12.93942798647695</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271</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119.45467255437254</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74.759832813677818</v>
      </c>
      <c r="Y56" s="115">
        <f>'Service model charges'!Y43</f>
        <v>74.759832813677818</v>
      </c>
    </row>
    <row r="57" spans="3:27" x14ac:dyDescent="0.25">
      <c r="C57" s="78"/>
      <c r="D57"/>
      <c r="F57" s="2"/>
    </row>
    <row r="58" spans="3:27" x14ac:dyDescent="0.25">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150</v>
      </c>
      <c r="I63" t="s">
        <v>155</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155</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190</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192</v>
      </c>
      <c r="G71" t="s">
        <v>727</v>
      </c>
      <c r="J71" s="69"/>
      <c r="K71" s="69"/>
      <c r="L71" s="69"/>
      <c r="M71" s="69"/>
      <c r="N71" s="69"/>
      <c r="O71" s="69"/>
      <c r="P71" s="69"/>
      <c r="Q71" s="69"/>
      <c r="R71" s="69"/>
      <c r="S71" s="69"/>
      <c r="T71" s="69"/>
      <c r="U71" s="69"/>
      <c r="V71" s="69"/>
      <c r="W71" s="69"/>
      <c r="X71" s="69"/>
      <c r="Y71" s="69"/>
    </row>
    <row r="72" spans="2:27" x14ac:dyDescent="0.25">
      <c r="C72" s="78"/>
      <c r="D72"/>
      <c r="E72" s="24"/>
      <c r="F72" t="s">
        <v>193</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194</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195</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196</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197</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198</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199</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200</v>
      </c>
      <c r="G79" t="s">
        <v>727</v>
      </c>
      <c r="J79" s="88">
        <f t="shared" ref="J79:K79" si="49">J$20 * J34 * thousand / PowerFactor</f>
        <v>234991.25702079633</v>
      </c>
      <c r="K79" s="88">
        <f t="shared" si="49"/>
        <v>0</v>
      </c>
      <c r="L79" s="88">
        <f t="shared" ref="L79:M79" si="50">L$20 * L34 * thousand / PowerFactor</f>
        <v>82727.646030428252</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190</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192</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193</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194</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195</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196</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197</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198</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199</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200</v>
      </c>
      <c r="G93" t="s">
        <v>727</v>
      </c>
      <c r="J93" s="88">
        <f t="shared" ref="J93:K93" si="119">J$20 * J48 * thousand / PowerFactor</f>
        <v>4257633.8644308448</v>
      </c>
      <c r="K93" s="88">
        <f t="shared" si="119"/>
        <v>0</v>
      </c>
      <c r="L93" s="88">
        <f t="shared" ref="L93:M93" si="120">L$20 * L48 * thousand / PowerFactor</f>
        <v>1498881.4125651836</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155</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190</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192</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193</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194</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195</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196</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197</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198</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199</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200</v>
      </c>
      <c r="G109" t="s">
        <v>727</v>
      </c>
      <c r="J109" s="88">
        <f t="shared" ref="J109:Y109" si="133">SUMIFS($J79:$Y79,$J$63:$Y$63,J$63)</f>
        <v>317718.9030512246</v>
      </c>
      <c r="K109" s="88">
        <f t="shared" si="133"/>
        <v>0</v>
      </c>
      <c r="L109" s="88">
        <f t="shared" si="133"/>
        <v>317718.9030512246</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190</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192</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193</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194</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195</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196</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197</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198</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199</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200</v>
      </c>
      <c r="G123" t="s">
        <v>727</v>
      </c>
      <c r="J123" s="88">
        <f t="shared" ref="J123:Y123" si="143">SUMIFS($J93:$Y93,$J$63:$Y$63,J$63)</f>
        <v>5756515.2769960286</v>
      </c>
      <c r="K123" s="88">
        <f t="shared" si="143"/>
        <v>0</v>
      </c>
      <c r="L123" s="88">
        <f t="shared" si="143"/>
        <v>5756515.2769960286</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213</v>
      </c>
      <c r="J129" s="79">
        <f t="shared" ref="J129:Y129" si="144">SUMIFS($J$18:$Y$18,$J$63:$Y$63,J63)</f>
        <v>1681908.6587389745</v>
      </c>
      <c r="K129" s="79">
        <f t="shared" si="144"/>
        <v>13765.901457485863</v>
      </c>
      <c r="L129" s="79">
        <f t="shared" si="144"/>
        <v>1681908.6587389745</v>
      </c>
      <c r="M129" s="79">
        <f t="shared" si="144"/>
        <v>13765.901457485863</v>
      </c>
      <c r="N129" s="79">
        <f t="shared" si="144"/>
        <v>13765.901457485863</v>
      </c>
      <c r="O129" s="79">
        <f t="shared" si="144"/>
        <v>13765.901457485863</v>
      </c>
      <c r="P129" s="79">
        <f t="shared" si="144"/>
        <v>13765.901457485863</v>
      </c>
      <c r="Q129" s="79">
        <f t="shared" si="144"/>
        <v>13765.901457485863</v>
      </c>
      <c r="R129" s="79">
        <f t="shared" si="144"/>
        <v>13765.901457485863</v>
      </c>
      <c r="S129" s="79">
        <f t="shared" si="144"/>
        <v>13765.901457485863</v>
      </c>
      <c r="T129" s="79">
        <f t="shared" si="144"/>
        <v>13765.901457485863</v>
      </c>
      <c r="U129" s="79">
        <f t="shared" si="144"/>
        <v>13765.901457485863</v>
      </c>
      <c r="V129" s="79">
        <f t="shared" si="144"/>
        <v>13765.901457485863</v>
      </c>
      <c r="W129" s="79">
        <f t="shared" si="144"/>
        <v>13765.901457485863</v>
      </c>
      <c r="X129" s="79">
        <f t="shared" si="144"/>
        <v>13765.901457485863</v>
      </c>
      <c r="Y129" s="79">
        <f t="shared" si="144"/>
        <v>13765.901457485863</v>
      </c>
    </row>
    <row r="130" spans="3:27" x14ac:dyDescent="0.25">
      <c r="D130"/>
      <c r="E130"/>
    </row>
    <row r="131" spans="3:27" x14ac:dyDescent="0.25">
      <c r="C131" s="78"/>
      <c r="E131" s="27" t="s">
        <v>620</v>
      </c>
      <c r="I131" t="s">
        <v>155</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190</v>
      </c>
      <c r="G132" s="19" t="s">
        <v>271</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192</v>
      </c>
      <c r="G133" t="s">
        <v>271</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193</v>
      </c>
      <c r="G134" t="s">
        <v>271</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194</v>
      </c>
      <c r="G135" t="s">
        <v>271</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195</v>
      </c>
      <c r="G136" t="s">
        <v>271</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196</v>
      </c>
      <c r="G137" t="s">
        <v>271</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197</v>
      </c>
      <c r="G138" t="s">
        <v>271</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198</v>
      </c>
      <c r="G139" t="s">
        <v>271</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199</v>
      </c>
      <c r="G140" t="s">
        <v>271</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200</v>
      </c>
      <c r="G141" t="s">
        <v>271</v>
      </c>
      <c r="J141" s="88">
        <f t="shared" ref="J141:K141" si="208">IF(J$129 = 0, 0, J109 / J$129)</f>
        <v>0.18890377988150503</v>
      </c>
      <c r="K141" s="88">
        <f t="shared" si="208"/>
        <v>0</v>
      </c>
      <c r="L141" s="88">
        <f t="shared" ref="L141:M141" si="209">IF(L$129 = 0, 0, L109 / L$129)</f>
        <v>0.18890377988150503</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271</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190</v>
      </c>
      <c r="G146" s="19" t="s">
        <v>271</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192</v>
      </c>
      <c r="G147" t="s">
        <v>271</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193</v>
      </c>
      <c r="G148" t="s">
        <v>271</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194</v>
      </c>
      <c r="G149" t="s">
        <v>271</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195</v>
      </c>
      <c r="G150" t="s">
        <v>271</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196</v>
      </c>
      <c r="G151" t="s">
        <v>271</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197</v>
      </c>
      <c r="G152" t="s">
        <v>271</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198</v>
      </c>
      <c r="G153" t="s">
        <v>271</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199</v>
      </c>
      <c r="G154" t="s">
        <v>271</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200</v>
      </c>
      <c r="G155" t="s">
        <v>271</v>
      </c>
      <c r="J155" s="88">
        <f t="shared" ref="J155:K155" si="278">IF(J$129 = 0, 0, J123 / J$129)</f>
        <v>3.4226087410192809</v>
      </c>
      <c r="K155" s="88">
        <f t="shared" si="278"/>
        <v>0</v>
      </c>
      <c r="L155" s="88">
        <f t="shared" ref="L155:M155" si="279">IF(L$129 = 0, 0, L123 / L$129)</f>
        <v>3.4226087410192809</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271</v>
      </c>
      <c r="H156" s="19"/>
      <c r="I156" s="19"/>
      <c r="J156" s="116">
        <f t="shared" ref="J156:K156" si="285">J55</f>
        <v>2.8335139710705972</v>
      </c>
      <c r="K156" s="116">
        <f t="shared" si="285"/>
        <v>0</v>
      </c>
      <c r="L156" s="116">
        <f t="shared" ref="L156:M156" si="286">L55</f>
        <v>8.308249112469289</v>
      </c>
      <c r="M156" s="116">
        <f t="shared" si="286"/>
        <v>0</v>
      </c>
      <c r="N156" s="116">
        <f t="shared" ref="N156:P156" si="287">N55</f>
        <v>16.57610077681834</v>
      </c>
      <c r="O156" s="116">
        <f t="shared" si="287"/>
        <v>12.93942798647695</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271</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119.45467255437254</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74.759832813677818</v>
      </c>
      <c r="Y157" s="90">
        <f t="shared" si="298"/>
        <v>74.759832813677818</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160</v>
      </c>
      <c r="G161" t="s">
        <v>271</v>
      </c>
      <c r="J161" s="111">
        <f t="shared" ref="J161:K161" si="299">SUM(J132:J143,J146:J157)</f>
        <v>6.4450264919713831</v>
      </c>
      <c r="K161" s="111">
        <f t="shared" si="299"/>
        <v>0</v>
      </c>
      <c r="L161" s="111">
        <f t="shared" ref="L161:M161" si="300">SUM(L132:L143,L146:L157)</f>
        <v>11.919761633370076</v>
      </c>
      <c r="M161" s="111">
        <f t="shared" si="300"/>
        <v>0</v>
      </c>
      <c r="N161" s="111">
        <f t="shared" ref="N161:P161" si="301">SUM(N132:N143,N146:N157)</f>
        <v>16.57610077681834</v>
      </c>
      <c r="O161" s="111">
        <f t="shared" si="301"/>
        <v>12.93942798647695</v>
      </c>
      <c r="P161" s="111">
        <f t="shared" si="301"/>
        <v>119.45467255437254</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74.759832813677818</v>
      </c>
      <c r="Y161" s="111">
        <f>SUM(Y132:Y143,Y146:Y157)</f>
        <v>74.759832813677818</v>
      </c>
    </row>
    <row r="163" spans="2:27" x14ac:dyDescent="0.25">
      <c r="B163" s="25" t="s">
        <v>232</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233</v>
      </c>
      <c r="G165" s="6" t="s">
        <v>56</v>
      </c>
      <c r="H165" s="93">
        <f t="array" ref="H165">SUM(IF(ISERROR(H18:Y161), 1))</f>
        <v>0</v>
      </c>
    </row>
    <row r="167" spans="2:27" x14ac:dyDescent="0.25">
      <c r="B167" s="25" t="s">
        <v>107</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213</v>
      </c>
      <c r="F18" s="27"/>
    </row>
    <row r="19" spans="1:27" x14ac:dyDescent="0.25">
      <c r="E19" s="24" t="s">
        <v>868</v>
      </c>
      <c r="F19" s="2"/>
    </row>
    <row r="20" spans="1:27" x14ac:dyDescent="0.25">
      <c r="C20" s="78"/>
      <c r="F20" s="19" t="s">
        <v>446</v>
      </c>
      <c r="G20" s="19" t="s">
        <v>213</v>
      </c>
      <c r="H20" s="267"/>
      <c r="I20" s="255"/>
      <c r="J20" s="267">
        <f>'Volume adjustments'!J202</f>
        <v>1506295.0683282644</v>
      </c>
      <c r="K20" s="267">
        <f>'Volume adjustments'!K202</f>
        <v>0</v>
      </c>
      <c r="L20" s="267">
        <f>'Volume adjustments'!L202</f>
        <v>146154.28894595639</v>
      </c>
      <c r="M20" s="267">
        <f>'Volume adjustments'!M202</f>
        <v>0</v>
      </c>
      <c r="N20" s="267">
        <f>'Volume adjustments'!N202</f>
        <v>7907.6128237346747</v>
      </c>
      <c r="O20" s="267">
        <f>'Volume adjustments'!O202</f>
        <v>1727.0854506297937</v>
      </c>
      <c r="P20" s="267">
        <f>'Volume adjustments'!P202</f>
        <v>1119.3418499375234</v>
      </c>
      <c r="Q20" s="267">
        <f>'Volume adjustments'!Q202</f>
        <v>2539</v>
      </c>
      <c r="R20" s="267">
        <f>'Volume adjustments'!R202</f>
        <v>0</v>
      </c>
      <c r="S20" s="267">
        <f>'Volume adjustments'!S202</f>
        <v>0</v>
      </c>
      <c r="T20" s="267">
        <f>'Volume adjustments'!T202</f>
        <v>0</v>
      </c>
      <c r="U20" s="267">
        <f>'Volume adjustments'!U202</f>
        <v>0</v>
      </c>
      <c r="V20" s="267">
        <f>'Volume adjustments'!V202</f>
        <v>0</v>
      </c>
      <c r="W20" s="267">
        <f>'Volume adjustments'!W202</f>
        <v>0</v>
      </c>
      <c r="X20" s="267">
        <f>'Volume adjustments'!X202</f>
        <v>272.95468099853321</v>
      </c>
      <c r="Y20" s="267">
        <f>'Volume adjustments'!Y202</f>
        <v>0</v>
      </c>
      <c r="Z20" s="256"/>
      <c r="AA20" s="256"/>
    </row>
    <row r="21" spans="1:27" x14ac:dyDescent="0.25">
      <c r="C21" s="78"/>
      <c r="F21" t="s">
        <v>447</v>
      </c>
      <c r="G21" t="s">
        <v>213</v>
      </c>
      <c r="H21" s="268"/>
      <c r="I21" s="256"/>
      <c r="J21" s="268">
        <f>'Volume adjustments'!J211</f>
        <v>14872.013535035618</v>
      </c>
      <c r="K21" s="268">
        <f>'Volume adjustments'!K211</f>
        <v>0</v>
      </c>
      <c r="L21" s="268">
        <f>'Volume adjustments'!L211</f>
        <v>324.97716743013706</v>
      </c>
      <c r="M21" s="268">
        <f>'Volume adjustments'!M211</f>
        <v>0</v>
      </c>
      <c r="N21" s="268">
        <f>'Volume adjustments'!N211</f>
        <v>47.340299923287688</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213</v>
      </c>
      <c r="H22" s="268"/>
      <c r="I22" s="256"/>
      <c r="J22" s="268">
        <f>'Volume adjustments'!J220</f>
        <v>47384.722591912338</v>
      </c>
      <c r="K22" s="268">
        <f>'Volume adjustments'!K220</f>
        <v>0</v>
      </c>
      <c r="L22" s="268">
        <f>'Volume adjustments'!L220</f>
        <v>1222.0602620493153</v>
      </c>
      <c r="M22" s="268">
        <f>'Volume adjustments'!M220</f>
        <v>0</v>
      </c>
      <c r="N22" s="268">
        <f>'Volume adjustments'!N220</f>
        <v>373.74164094246584</v>
      </c>
      <c r="O22" s="268">
        <f>'Volume adjustments'!O220</f>
        <v>10.773680745205482</v>
      </c>
      <c r="P22" s="268">
        <f>'Volume adjustments'!P220</f>
        <v>9.9538186520547978</v>
      </c>
      <c r="Q22" s="268">
        <f>'Volume adjustments'!Q220</f>
        <v>0</v>
      </c>
      <c r="R22" s="268">
        <f>'Volume adjustments'!R220</f>
        <v>0</v>
      </c>
      <c r="S22" s="268">
        <f>'Volume adjustments'!S220</f>
        <v>0</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213</v>
      </c>
      <c r="H23" s="201"/>
      <c r="I23" s="28"/>
      <c r="J23" s="115">
        <f>'Inputs by customer type'!J161</f>
        <v>5177.0942449972599</v>
      </c>
      <c r="K23" s="115">
        <f>'Inputs by customer type'!K161</f>
        <v>0</v>
      </c>
      <c r="L23" s="115">
        <f>'Inputs by customer type'!L161</f>
        <v>46.358774882191781</v>
      </c>
      <c r="M23" s="115">
        <f>'Inputs by customer type'!M161</f>
        <v>0</v>
      </c>
      <c r="N23" s="115">
        <f>'Inputs by customer type'!N161</f>
        <v>8.3140944657534259</v>
      </c>
      <c r="O23" s="115">
        <f>'Inputs by customer type'!O161</f>
        <v>0</v>
      </c>
      <c r="P23" s="115">
        <f>'Inputs by customer type'!P161</f>
        <v>0.93533562739726062</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177</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25">
      <c r="C27" s="410"/>
      <c r="D27" s="411"/>
      <c r="F27" t="s">
        <v>872</v>
      </c>
      <c r="G27" s="408" t="s">
        <v>177</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25">
      <c r="A28" s="408"/>
      <c r="C28" s="78"/>
      <c r="E28"/>
      <c r="F28" s="28" t="s">
        <v>1151</v>
      </c>
      <c r="G28" s="28" t="s">
        <v>177</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08"/>
      <c r="C29" s="78"/>
      <c r="E29"/>
      <c r="J29" s="79"/>
      <c r="K29" s="79"/>
      <c r="L29" s="79"/>
      <c r="M29" s="79"/>
      <c r="N29" s="79"/>
      <c r="O29" s="79"/>
      <c r="P29" s="79"/>
      <c r="Q29" s="79"/>
      <c r="R29" s="79"/>
      <c r="S29" s="79"/>
      <c r="T29" s="79"/>
      <c r="U29" s="79"/>
      <c r="V29" s="79"/>
      <c r="W29" s="79"/>
      <c r="X29" s="79"/>
      <c r="Y29" s="79"/>
    </row>
    <row r="30" spans="1:27" x14ac:dyDescent="0.25">
      <c r="A30" s="408"/>
      <c r="C30" s="78"/>
      <c r="E30" s="27" t="s">
        <v>873</v>
      </c>
      <c r="J30" s="79"/>
      <c r="K30" s="79"/>
      <c r="L30" s="79"/>
      <c r="M30" s="79"/>
      <c r="N30" s="79"/>
      <c r="O30" s="79"/>
      <c r="P30" s="79"/>
      <c r="Q30" s="79"/>
      <c r="R30" s="79"/>
      <c r="S30" s="79"/>
      <c r="T30" s="79"/>
      <c r="U30" s="79"/>
      <c r="V30" s="79"/>
      <c r="W30" s="79"/>
      <c r="X30" s="79"/>
      <c r="Y30" s="79"/>
    </row>
    <row r="31" spans="1:27" x14ac:dyDescent="0.25">
      <c r="A31" s="408"/>
      <c r="C31" s="78"/>
      <c r="E31"/>
      <c r="F31" s="19" t="s">
        <v>871</v>
      </c>
      <c r="G31" s="19" t="s">
        <v>278</v>
      </c>
      <c r="H31" s="114">
        <f>'General inputs'!H53</f>
        <v>1118528.0814864344</v>
      </c>
      <c r="J31" s="110"/>
      <c r="K31" s="110"/>
      <c r="L31" s="110"/>
      <c r="M31" s="110"/>
      <c r="N31" s="110"/>
      <c r="O31" s="110"/>
      <c r="P31" s="110"/>
      <c r="Q31" s="110"/>
      <c r="R31" s="110"/>
      <c r="S31" s="110"/>
      <c r="T31" s="110"/>
      <c r="U31" s="110"/>
      <c r="V31" s="110"/>
      <c r="W31" s="110"/>
      <c r="X31" s="110"/>
      <c r="Y31" s="110"/>
    </row>
    <row r="32" spans="1:27" s="408" customFormat="1" x14ac:dyDescent="0.25">
      <c r="C32" s="410"/>
      <c r="D32" s="411"/>
      <c r="F32" t="s">
        <v>872</v>
      </c>
      <c r="G32" s="408" t="s">
        <v>278</v>
      </c>
      <c r="H32" s="318">
        <f>'General inputs'!H54</f>
        <v>4542999.59907851</v>
      </c>
      <c r="J32" s="413"/>
      <c r="K32" s="413"/>
      <c r="L32" s="413"/>
      <c r="M32" s="413"/>
      <c r="N32" s="413"/>
      <c r="O32" s="413"/>
      <c r="P32" s="413"/>
      <c r="Q32" s="413"/>
      <c r="R32" s="413"/>
      <c r="S32" s="413"/>
      <c r="T32" s="413"/>
      <c r="U32" s="413"/>
      <c r="V32" s="413"/>
      <c r="W32" s="413"/>
      <c r="X32" s="413"/>
      <c r="Y32" s="413"/>
    </row>
    <row r="33" spans="1:27" x14ac:dyDescent="0.25">
      <c r="A33" s="408"/>
      <c r="C33" s="78"/>
      <c r="E33"/>
      <c r="F33" s="28" t="s">
        <v>1151</v>
      </c>
      <c r="G33" s="28" t="s">
        <v>278</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08"/>
    </row>
    <row r="35" spans="1:27" x14ac:dyDescent="0.25">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08"/>
      <c r="C36" s="78"/>
      <c r="E36"/>
      <c r="J36" s="79"/>
      <c r="K36" s="79"/>
      <c r="L36" s="79"/>
      <c r="M36" s="79"/>
      <c r="N36" s="79"/>
      <c r="O36" s="79"/>
      <c r="P36" s="79"/>
      <c r="Q36" s="79"/>
      <c r="R36" s="79"/>
      <c r="S36" s="79"/>
      <c r="T36" s="79"/>
      <c r="U36" s="79"/>
      <c r="V36" s="79"/>
      <c r="W36" s="79"/>
      <c r="X36" s="79"/>
      <c r="Y36" s="79"/>
    </row>
    <row r="37" spans="1:27" x14ac:dyDescent="0.25">
      <c r="A37" s="408"/>
      <c r="C37" s="78"/>
      <c r="E37" s="27" t="s">
        <v>874</v>
      </c>
      <c r="J37" s="79"/>
      <c r="K37" s="79"/>
      <c r="L37" s="79"/>
      <c r="M37" s="79"/>
      <c r="N37" s="79"/>
      <c r="O37" s="79"/>
      <c r="P37" s="79"/>
      <c r="Q37" s="79"/>
      <c r="R37" s="79"/>
      <c r="S37" s="79"/>
      <c r="T37" s="79"/>
      <c r="U37" s="79"/>
      <c r="V37" s="79"/>
      <c r="W37" s="79"/>
      <c r="X37" s="79"/>
      <c r="Y37" s="79"/>
    </row>
    <row r="38" spans="1:27" x14ac:dyDescent="0.25">
      <c r="A38" s="408"/>
      <c r="F38" s="19" t="s">
        <v>871</v>
      </c>
      <c r="G38" s="19" t="s">
        <v>213</v>
      </c>
      <c r="H38" s="19"/>
      <c r="I38" s="19"/>
      <c r="J38" s="148">
        <f t="shared" ref="J38:Y38" si="0">SUM( J$20:J$23 ) * J26</f>
        <v>1573728.8987002096</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25">
      <c r="D39" s="411"/>
      <c r="E39" s="411"/>
      <c r="F39" t="s">
        <v>872</v>
      </c>
      <c r="G39" s="408" t="s">
        <v>213</v>
      </c>
      <c r="J39" s="415">
        <f>SUM( J$20:J$23 ) * J27</f>
        <v>1573728.8987002096</v>
      </c>
      <c r="K39" s="415">
        <f t="shared" ref="K39:Y39" si="1">SUM( K$20:K$23 ) * K27</f>
        <v>0</v>
      </c>
      <c r="L39" s="415">
        <f t="shared" si="1"/>
        <v>147747.68515031802</v>
      </c>
      <c r="M39" s="415">
        <f t="shared" si="1"/>
        <v>0</v>
      </c>
      <c r="N39" s="415">
        <f t="shared" si="1"/>
        <v>8337.0088590661817</v>
      </c>
      <c r="O39" s="415">
        <f t="shared" si="1"/>
        <v>1737.8591313749992</v>
      </c>
      <c r="P39" s="415">
        <f t="shared" si="1"/>
        <v>1130.2310042169756</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25">
      <c r="A40" s="408"/>
      <c r="F40" s="28" t="s">
        <v>1151</v>
      </c>
      <c r="G40" s="28" t="s">
        <v>213</v>
      </c>
      <c r="H40" s="28"/>
      <c r="I40" s="28"/>
      <c r="J40" s="72">
        <f>SUM( J$20:J$23 ) * J28</f>
        <v>1573728.8987002096</v>
      </c>
      <c r="K40" s="72">
        <f t="shared" ref="K40:Y40" si="2">SUM( K$20:K$23 ) * K28</f>
        <v>0</v>
      </c>
      <c r="L40" s="72">
        <f t="shared" si="2"/>
        <v>147747.68515031802</v>
      </c>
      <c r="M40" s="72">
        <f t="shared" si="2"/>
        <v>0</v>
      </c>
      <c r="N40" s="72">
        <f t="shared" si="2"/>
        <v>8337.0088590661817</v>
      </c>
      <c r="O40" s="72">
        <f t="shared" si="2"/>
        <v>1737.8591313749992</v>
      </c>
      <c r="P40" s="72">
        <f t="shared" si="2"/>
        <v>1130.2310042169756</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08"/>
      <c r="C41" s="78"/>
      <c r="E41"/>
      <c r="J41" s="79"/>
      <c r="K41" s="79"/>
      <c r="L41" s="79"/>
      <c r="M41" s="79"/>
      <c r="N41" s="79"/>
      <c r="O41" s="79"/>
      <c r="P41" s="79"/>
      <c r="Q41" s="79"/>
      <c r="R41" s="79"/>
      <c r="S41" s="79"/>
      <c r="T41" s="79"/>
      <c r="U41" s="79"/>
      <c r="V41" s="79"/>
      <c r="W41" s="79"/>
      <c r="X41" s="79"/>
      <c r="Y41" s="79"/>
    </row>
    <row r="42" spans="1:27" x14ac:dyDescent="0.25">
      <c r="A42" s="408"/>
      <c r="C42" s="78"/>
      <c r="E42" s="27" t="s">
        <v>875</v>
      </c>
      <c r="I42" t="s">
        <v>155</v>
      </c>
      <c r="J42" s="79"/>
      <c r="K42" s="79"/>
      <c r="L42" s="79"/>
      <c r="M42" s="79"/>
      <c r="N42" s="79"/>
      <c r="O42" s="79"/>
      <c r="P42" s="79"/>
      <c r="Q42" s="79"/>
      <c r="R42" s="79"/>
      <c r="S42" s="79"/>
      <c r="T42" s="79"/>
      <c r="U42" s="79"/>
      <c r="V42" s="79"/>
      <c r="W42" s="79"/>
      <c r="X42" s="79"/>
      <c r="Y42" s="79"/>
      <c r="AA42" t="s">
        <v>1159</v>
      </c>
    </row>
    <row r="43" spans="1:27" x14ac:dyDescent="0.25">
      <c r="A43" s="408"/>
      <c r="C43" s="78"/>
      <c r="E43"/>
      <c r="F43" s="19" t="s">
        <v>871</v>
      </c>
      <c r="G43" s="19" t="s">
        <v>271</v>
      </c>
      <c r="H43" s="308">
        <f>H31 / SUM( J38:Y38 ) * hundred / days_in_year</f>
        <v>0.19472607383356424</v>
      </c>
      <c r="I43" s="13"/>
      <c r="J43" s="184"/>
      <c r="K43" s="184"/>
      <c r="L43" s="184"/>
      <c r="M43" s="184"/>
      <c r="N43" s="184"/>
      <c r="O43" s="184"/>
      <c r="P43" s="184"/>
      <c r="Q43" s="184"/>
      <c r="R43" s="184"/>
      <c r="S43" s="184"/>
      <c r="T43" s="184"/>
      <c r="U43" s="184"/>
      <c r="V43" s="184"/>
      <c r="W43" s="184"/>
      <c r="X43" s="184"/>
      <c r="Y43" s="184"/>
    </row>
    <row r="44" spans="1:27" s="408" customFormat="1" x14ac:dyDescent="0.25">
      <c r="C44" s="410"/>
      <c r="D44" s="411"/>
      <c r="F44" t="s">
        <v>872</v>
      </c>
      <c r="G44" s="408" t="s">
        <v>271</v>
      </c>
      <c r="H44" s="418">
        <f>H32 / SUM( J39:Y39 ) * hundred / days_in_year</f>
        <v>0.71834165313114851</v>
      </c>
      <c r="I44" s="416"/>
      <c r="J44" s="417"/>
      <c r="K44" s="417"/>
      <c r="L44" s="417"/>
      <c r="M44" s="417"/>
      <c r="N44" s="417"/>
      <c r="O44" s="417"/>
      <c r="P44" s="417"/>
      <c r="Q44" s="417"/>
      <c r="R44" s="417"/>
      <c r="S44" s="417"/>
      <c r="T44" s="417"/>
      <c r="U44" s="417"/>
      <c r="V44" s="417"/>
      <c r="W44" s="417"/>
      <c r="X44" s="417"/>
      <c r="Y44" s="417"/>
    </row>
    <row r="45" spans="1:27" ht="15" customHeight="1" x14ac:dyDescent="0.25">
      <c r="A45" s="408"/>
      <c r="C45" s="78"/>
      <c r="E45"/>
      <c r="F45" s="28" t="s">
        <v>1151</v>
      </c>
      <c r="G45" s="28" t="s">
        <v>271</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08"/>
      <c r="C48" s="78"/>
      <c r="E48"/>
      <c r="F48" s="19" t="s">
        <v>871</v>
      </c>
      <c r="G48" s="19" t="s">
        <v>271</v>
      </c>
      <c r="H48" s="308"/>
      <c r="I48" s="308"/>
      <c r="J48" s="308">
        <f t="shared" ref="J48:Y48" si="3">IF( J26 = 1, $H43, 0)</f>
        <v>0.19472607383356424</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25">
      <c r="C49" s="410"/>
      <c r="D49" s="411"/>
      <c r="F49" t="s">
        <v>872</v>
      </c>
      <c r="G49" s="408" t="s">
        <v>271</v>
      </c>
      <c r="H49" s="418"/>
      <c r="I49" s="418"/>
      <c r="J49" s="418">
        <f>IF( J27 = 1, $H44, 0)</f>
        <v>0.71834165313114851</v>
      </c>
      <c r="K49" s="418">
        <f t="shared" ref="K49:Y49" si="4">IF( K27 = 1, $H44, 0)</f>
        <v>0</v>
      </c>
      <c r="L49" s="418">
        <f t="shared" si="4"/>
        <v>0.71834165313114851</v>
      </c>
      <c r="M49" s="418">
        <f t="shared" si="4"/>
        <v>0</v>
      </c>
      <c r="N49" s="418">
        <f t="shared" si="4"/>
        <v>0.71834165313114851</v>
      </c>
      <c r="O49" s="418">
        <f t="shared" si="4"/>
        <v>0.71834165313114851</v>
      </c>
      <c r="P49" s="418">
        <f t="shared" si="4"/>
        <v>0.71834165313114851</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25">
      <c r="A50" s="408"/>
      <c r="C50" s="78"/>
      <c r="E50"/>
      <c r="F50" s="28" t="s">
        <v>1151</v>
      </c>
      <c r="G50" s="28" t="s">
        <v>271</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25">
      <c r="C51" s="410"/>
      <c r="D51" s="411"/>
      <c r="F51" s="98" t="s">
        <v>544</v>
      </c>
      <c r="G51" s="419" t="s">
        <v>271</v>
      </c>
      <c r="H51" s="420"/>
      <c r="I51" s="420"/>
      <c r="J51" s="448">
        <f xml:space="preserve"> J48 + J50 + J49</f>
        <v>0.91306772696471272</v>
      </c>
      <c r="K51" s="448">
        <f t="shared" ref="K51:Y51" si="6" xml:space="preserve"> K48 + K50 + K49</f>
        <v>0</v>
      </c>
      <c r="L51" s="448">
        <f t="shared" si="6"/>
        <v>0.71834165313114851</v>
      </c>
      <c r="M51" s="448">
        <f t="shared" si="6"/>
        <v>0</v>
      </c>
      <c r="N51" s="448">
        <f t="shared" si="6"/>
        <v>0.71834165313114851</v>
      </c>
      <c r="O51" s="448">
        <f t="shared" si="6"/>
        <v>0.71834165313114851</v>
      </c>
      <c r="P51" s="448">
        <f t="shared" si="6"/>
        <v>0.71834165313114851</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25">
      <c r="A52" s="408"/>
      <c r="C52" s="78"/>
      <c r="H52" s="13"/>
      <c r="I52" s="13"/>
      <c r="J52" s="13"/>
      <c r="K52" s="13"/>
      <c r="L52" s="13"/>
      <c r="M52" s="13"/>
      <c r="N52" s="13"/>
      <c r="O52" s="13"/>
      <c r="P52" s="13"/>
      <c r="Q52" s="13"/>
      <c r="R52" s="13"/>
      <c r="S52" s="13"/>
      <c r="T52" s="13"/>
      <c r="U52" s="13"/>
      <c r="V52" s="13"/>
      <c r="W52" s="13"/>
      <c r="X52" s="13"/>
      <c r="Y52" s="13"/>
    </row>
    <row r="53" spans="1:27" x14ac:dyDescent="0.25">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08"/>
      <c r="C54" s="78"/>
      <c r="E54"/>
      <c r="J54" s="79"/>
      <c r="K54" s="79"/>
      <c r="L54" s="79"/>
      <c r="M54" s="79"/>
      <c r="N54" s="79"/>
      <c r="O54" s="79"/>
      <c r="P54" s="79"/>
      <c r="Q54" s="79"/>
      <c r="R54" s="79"/>
      <c r="S54" s="79"/>
      <c r="T54" s="79"/>
      <c r="U54" s="79"/>
      <c r="V54" s="79"/>
      <c r="W54" s="79"/>
      <c r="X54" s="79"/>
      <c r="Y54" s="79"/>
    </row>
    <row r="55" spans="1:27" x14ac:dyDescent="0.25">
      <c r="A55" s="408"/>
      <c r="E55" t="s">
        <v>877</v>
      </c>
      <c r="G55" s="6" t="s">
        <v>278</v>
      </c>
      <c r="H55" s="205"/>
      <c r="I55" s="13"/>
      <c r="J55" s="205">
        <f t="shared" ref="J55:Y55" si="7">J51 / hundred * days_in_year * SUM( J20:J22 )</f>
        <v>5227508.2121291654</v>
      </c>
      <c r="K55" s="205">
        <f t="shared" si="7"/>
        <v>0</v>
      </c>
      <c r="L55" s="205">
        <f t="shared" si="7"/>
        <v>387265.05459740764</v>
      </c>
      <c r="M55" s="205">
        <f t="shared" si="7"/>
        <v>0</v>
      </c>
      <c r="N55" s="205">
        <f t="shared" si="7"/>
        <v>21837.396534541516</v>
      </c>
      <c r="O55" s="205">
        <f t="shared" si="7"/>
        <v>4556.5745948945723</v>
      </c>
      <c r="P55" s="205">
        <f t="shared" si="7"/>
        <v>2960.9534286869639</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08"/>
      <c r="H56" s="13"/>
      <c r="I56" s="13"/>
      <c r="J56" s="13"/>
      <c r="K56" s="13"/>
      <c r="L56" s="13"/>
      <c r="M56" s="13"/>
      <c r="N56" s="13"/>
      <c r="O56" s="13"/>
      <c r="P56" s="13"/>
      <c r="Q56" s="13"/>
      <c r="R56" s="13"/>
      <c r="S56" s="13"/>
      <c r="T56" s="13"/>
      <c r="U56" s="13"/>
      <c r="V56" s="13"/>
      <c r="W56" s="13"/>
      <c r="X56" s="13"/>
      <c r="Y56" s="13"/>
    </row>
    <row r="57" spans="1:27" x14ac:dyDescent="0.25">
      <c r="A57" s="408"/>
      <c r="E57" t="s">
        <v>878</v>
      </c>
      <c r="G57" s="6" t="s">
        <v>278</v>
      </c>
      <c r="H57" s="189">
        <f>SUM( J55:Y55 )</f>
        <v>5644128.1912846956</v>
      </c>
      <c r="I57" s="13"/>
      <c r="J57" s="13"/>
      <c r="K57" s="13"/>
      <c r="L57" s="13"/>
      <c r="M57" s="13"/>
      <c r="N57" s="13"/>
      <c r="O57" s="13"/>
      <c r="P57" s="13"/>
      <c r="Q57" s="13"/>
      <c r="R57" s="13"/>
      <c r="S57" s="13"/>
      <c r="T57" s="13"/>
      <c r="U57" s="13"/>
      <c r="V57" s="13"/>
      <c r="W57" s="13"/>
      <c r="X57" s="13"/>
      <c r="Y57" s="13"/>
    </row>
    <row r="58" spans="1:27" x14ac:dyDescent="0.25">
      <c r="A58" s="408"/>
      <c r="H58" s="13"/>
      <c r="I58" s="13"/>
      <c r="J58" s="13"/>
      <c r="K58" s="13"/>
      <c r="L58" s="13"/>
      <c r="M58" s="13"/>
      <c r="N58" s="13"/>
      <c r="O58" s="13"/>
      <c r="P58" s="13"/>
      <c r="Q58" s="13"/>
      <c r="R58" s="13"/>
      <c r="S58" s="13"/>
      <c r="T58" s="13"/>
      <c r="U58" s="13"/>
      <c r="V58" s="13"/>
      <c r="W58" s="13"/>
      <c r="X58" s="13"/>
      <c r="Y58" s="13"/>
    </row>
    <row r="59" spans="1:27" x14ac:dyDescent="0.25">
      <c r="A59" s="408"/>
      <c r="E59" t="s">
        <v>879</v>
      </c>
      <c r="G59" s="6" t="s">
        <v>278</v>
      </c>
      <c r="H59" s="205"/>
      <c r="I59" s="13"/>
      <c r="J59" s="205">
        <f t="shared" ref="J59:Y59" si="8">J51 / hundred * days_in_year * J23</f>
        <v>17253.687512150365</v>
      </c>
      <c r="K59" s="205">
        <f t="shared" si="8"/>
        <v>0</v>
      </c>
      <c r="L59" s="205">
        <f t="shared" si="8"/>
        <v>121.55025229893069</v>
      </c>
      <c r="M59" s="205">
        <f t="shared" si="8"/>
        <v>0</v>
      </c>
      <c r="N59" s="205">
        <f t="shared" si="8"/>
        <v>21.799115324285147</v>
      </c>
      <c r="O59" s="205">
        <f t="shared" si="8"/>
        <v>0</v>
      </c>
      <c r="P59" s="205">
        <f t="shared" si="8"/>
        <v>2.4524004739820797</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08"/>
      <c r="H60" s="13"/>
      <c r="I60" s="13"/>
      <c r="J60" s="13"/>
      <c r="K60" s="13"/>
      <c r="L60" s="13"/>
      <c r="M60" s="13"/>
      <c r="N60" s="13"/>
      <c r="O60" s="13"/>
      <c r="P60" s="13"/>
      <c r="Q60" s="13"/>
      <c r="R60" s="13"/>
      <c r="S60" s="13"/>
      <c r="T60" s="13"/>
      <c r="U60" s="13"/>
      <c r="V60" s="13"/>
      <c r="W60" s="13"/>
      <c r="X60" s="13"/>
      <c r="Y60" s="13"/>
    </row>
    <row r="61" spans="1:27" x14ac:dyDescent="0.25">
      <c r="A61" s="408"/>
      <c r="E61" t="s">
        <v>880</v>
      </c>
      <c r="G61" s="6" t="s">
        <v>278</v>
      </c>
      <c r="H61" s="189">
        <f>SUM( J59:Y59 )</f>
        <v>17399.489280247562</v>
      </c>
      <c r="I61" s="13"/>
      <c r="J61" s="13"/>
      <c r="K61" s="13"/>
      <c r="L61" s="13"/>
      <c r="M61" s="13"/>
      <c r="N61" s="13"/>
      <c r="O61" s="13"/>
      <c r="P61" s="13"/>
      <c r="Q61" s="13"/>
      <c r="R61" s="13"/>
      <c r="S61" s="13"/>
      <c r="T61" s="13"/>
      <c r="U61" s="13"/>
      <c r="V61" s="13"/>
      <c r="W61" s="13"/>
      <c r="X61" s="13"/>
      <c r="Y61" s="13"/>
    </row>
    <row r="62" spans="1:27" x14ac:dyDescent="0.25">
      <c r="A62" s="408"/>
      <c r="H62" s="13"/>
      <c r="I62" s="13"/>
      <c r="J62" s="13"/>
      <c r="K62" s="13"/>
      <c r="L62" s="13"/>
      <c r="M62" s="13"/>
      <c r="N62" s="13"/>
      <c r="O62" s="13"/>
      <c r="P62" s="13"/>
      <c r="Q62" s="13"/>
      <c r="R62" s="13"/>
      <c r="S62" s="13"/>
      <c r="T62" s="13"/>
      <c r="U62" s="13"/>
      <c r="V62" s="13"/>
      <c r="W62" s="13"/>
      <c r="X62" s="13"/>
      <c r="Y62" s="13"/>
    </row>
    <row r="63" spans="1:27" x14ac:dyDescent="0.25">
      <c r="A63" s="408"/>
      <c r="B63" s="25" t="s">
        <v>232</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08"/>
      <c r="H64" s="13"/>
      <c r="I64" s="13"/>
      <c r="J64" s="13"/>
      <c r="K64" s="13"/>
      <c r="L64" s="13"/>
      <c r="M64" s="13"/>
      <c r="N64" s="13"/>
      <c r="O64" s="13"/>
      <c r="P64" s="13"/>
      <c r="Q64" s="13"/>
      <c r="R64" s="13"/>
      <c r="S64" s="13"/>
      <c r="T64" s="13"/>
      <c r="U64" s="13"/>
      <c r="V64" s="13"/>
      <c r="W64" s="13"/>
      <c r="X64" s="13"/>
      <c r="Y64" s="13"/>
    </row>
    <row r="65" spans="1:27" x14ac:dyDescent="0.25">
      <c r="A65" s="408"/>
      <c r="E65" t="s">
        <v>881</v>
      </c>
      <c r="G65" s="6" t="s">
        <v>278</v>
      </c>
      <c r="H65" s="205"/>
      <c r="I65" s="13"/>
      <c r="J65" s="407">
        <f xml:space="preserve"> J55 + J59</f>
        <v>5244761.8996413155</v>
      </c>
      <c r="K65" s="205">
        <f t="shared" ref="K65:Y65" si="9" xml:space="preserve"> K55 + K59</f>
        <v>0</v>
      </c>
      <c r="L65" s="205">
        <f t="shared" si="9"/>
        <v>387386.60484970658</v>
      </c>
      <c r="M65" s="205">
        <f t="shared" si="9"/>
        <v>0</v>
      </c>
      <c r="N65" s="205">
        <f t="shared" si="9"/>
        <v>21859.1956498658</v>
      </c>
      <c r="O65" s="205">
        <f t="shared" si="9"/>
        <v>4556.5745948945723</v>
      </c>
      <c r="P65" s="205">
        <f t="shared" si="9"/>
        <v>2963.4058291609458</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08"/>
      <c r="H66" s="13"/>
      <c r="I66" s="13"/>
      <c r="J66" s="13"/>
      <c r="K66" s="13"/>
      <c r="L66" s="13"/>
      <c r="M66" s="13"/>
      <c r="N66" s="13"/>
      <c r="O66" s="13"/>
      <c r="P66" s="13"/>
      <c r="Q66" s="13"/>
      <c r="R66" s="13"/>
      <c r="S66" s="13"/>
      <c r="T66" s="13"/>
      <c r="U66" s="13"/>
      <c r="V66" s="13"/>
      <c r="W66" s="13"/>
      <c r="X66" s="13"/>
      <c r="Y66" s="13"/>
    </row>
    <row r="67" spans="1:27" x14ac:dyDescent="0.25">
      <c r="A67" s="408"/>
      <c r="E67" t="s">
        <v>882</v>
      </c>
      <c r="G67" s="6" t="s">
        <v>278</v>
      </c>
      <c r="H67" s="79">
        <f>SUM( J65:Y65 )</f>
        <v>5661527.6805649437</v>
      </c>
      <c r="I67" s="13"/>
      <c r="J67" s="13"/>
      <c r="K67" s="13"/>
      <c r="L67" s="13"/>
      <c r="M67" s="13"/>
      <c r="N67" s="13"/>
      <c r="O67" s="13"/>
      <c r="P67" s="13"/>
      <c r="Q67" s="13"/>
      <c r="R67" s="13"/>
      <c r="S67" s="13"/>
      <c r="T67" s="13"/>
      <c r="U67" s="13"/>
      <c r="V67" s="13"/>
      <c r="W67" s="13"/>
      <c r="X67" s="13"/>
      <c r="Y67" s="13"/>
    </row>
    <row r="68" spans="1:27" x14ac:dyDescent="0.25">
      <c r="A68" s="408"/>
      <c r="H68" s="13"/>
      <c r="I68" s="13"/>
      <c r="J68" s="13"/>
      <c r="K68" s="13"/>
      <c r="L68" s="13"/>
      <c r="M68" s="13"/>
      <c r="N68" s="13"/>
      <c r="O68" s="13"/>
      <c r="P68" s="13"/>
      <c r="Q68" s="13"/>
      <c r="R68" s="13"/>
      <c r="S68" s="13"/>
      <c r="T68" s="13"/>
      <c r="U68" s="13"/>
      <c r="V68" s="13"/>
      <c r="W68" s="13"/>
      <c r="X68" s="13"/>
      <c r="Y68" s="13"/>
    </row>
    <row r="69" spans="1:27" x14ac:dyDescent="0.25">
      <c r="A69" s="408"/>
      <c r="E69" s="408" t="s">
        <v>883</v>
      </c>
      <c r="G69" s="6" t="s">
        <v>56</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08"/>
      <c r="H70" s="13"/>
      <c r="I70" s="13"/>
      <c r="J70" s="13"/>
      <c r="K70" s="13"/>
      <c r="L70" s="13"/>
      <c r="M70" s="13"/>
      <c r="N70" s="13"/>
      <c r="O70" s="13"/>
      <c r="P70" s="13"/>
      <c r="Q70" s="13"/>
      <c r="R70" s="13"/>
      <c r="S70" s="13"/>
      <c r="T70" s="13"/>
      <c r="U70" s="13"/>
      <c r="V70" s="13"/>
      <c r="W70" s="13"/>
      <c r="X70" s="13"/>
      <c r="Y70" s="13"/>
    </row>
    <row r="71" spans="1:27" x14ac:dyDescent="0.25">
      <c r="A71" s="408"/>
      <c r="E71" t="s">
        <v>233</v>
      </c>
      <c r="G71" s="6" t="s">
        <v>56</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107</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0" t="s">
        <v>144</v>
      </c>
      <c r="H5" s="104"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6" spans="1:43" x14ac:dyDescent="0.25">
      <c r="C6" s="78"/>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25">
      <c r="D17" s="24" t="s">
        <v>1028</v>
      </c>
      <c r="F17" s="2"/>
    </row>
    <row r="18" spans="3:43" x14ac:dyDescent="0.25">
      <c r="D18" s="78"/>
      <c r="F18" s="2"/>
    </row>
    <row r="19" spans="3: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25">
      <c r="D20"/>
      <c r="E20" s="78"/>
      <c r="F20" s="19" t="s">
        <v>157</v>
      </c>
      <c r="G20" s="19" t="s">
        <v>270</v>
      </c>
      <c r="H20" s="255"/>
      <c r="I20" s="255"/>
      <c r="J20" s="267">
        <f>'Unit rate charges'!J217</f>
        <v>15.165099534575806</v>
      </c>
      <c r="K20" s="267">
        <f>'Unit rate charges'!K217</f>
        <v>15.165099534575806</v>
      </c>
      <c r="L20" s="267">
        <f>'Unit rate charges'!L217</f>
        <v>16.257004512876239</v>
      </c>
      <c r="M20" s="267">
        <f>'Unit rate charges'!M217</f>
        <v>16.257004512876239</v>
      </c>
      <c r="N20" s="267">
        <f>'Unit rate charges'!N217</f>
        <v>10.983038407396837</v>
      </c>
      <c r="O20" s="267">
        <f>'Unit rate charges'!O217</f>
        <v>8.013422834799643</v>
      </c>
      <c r="P20" s="267">
        <f>'Unit rate charges'!P217</f>
        <v>5.646996018679137</v>
      </c>
      <c r="Q20" s="267">
        <f>'Unit rate charges'!Q217</f>
        <v>41.835053862971357</v>
      </c>
      <c r="R20" s="267">
        <f>'Unit rate charges'!R217</f>
        <v>-10.399682892504964</v>
      </c>
      <c r="S20" s="267">
        <f>'Unit rate charges'!S217</f>
        <v>-9.3206261710908951</v>
      </c>
      <c r="T20" s="267">
        <f>'Unit rate charges'!T217</f>
        <v>-10.399682892504964</v>
      </c>
      <c r="U20" s="267">
        <f>'Unit rate charges'!U217</f>
        <v>-10.399682892504964</v>
      </c>
      <c r="V20" s="267">
        <f>'Unit rate charges'!V217</f>
        <v>-9.3206261710908951</v>
      </c>
      <c r="W20" s="267">
        <f>'Unit rate charges'!W217</f>
        <v>-9.3206261710908951</v>
      </c>
      <c r="X20" s="267">
        <f>'Unit rate charges'!X217</f>
        <v>-5.9269683096045114</v>
      </c>
      <c r="Y20" s="267">
        <f>'Unit rate charges'!Y217</f>
        <v>-5.9269683096045114</v>
      </c>
      <c r="Z20" s="153"/>
      <c r="AA20" s="153"/>
      <c r="AB20" s="153"/>
      <c r="AC20" s="153"/>
      <c r="AD20" s="153"/>
      <c r="AE20" s="153"/>
      <c r="AF20" s="153"/>
      <c r="AG20" s="153"/>
      <c r="AH20" s="153"/>
      <c r="AI20" s="153"/>
      <c r="AJ20" s="153"/>
      <c r="AK20" s="153"/>
      <c r="AL20" s="153"/>
      <c r="AM20" s="153"/>
      <c r="AN20" s="153"/>
      <c r="AO20" s="153"/>
      <c r="AP20" s="256"/>
      <c r="AQ20" s="256"/>
    </row>
    <row r="21" spans="3:43" x14ac:dyDescent="0.25">
      <c r="D21"/>
      <c r="E21" s="78"/>
      <c r="F21" t="s">
        <v>158</v>
      </c>
      <c r="G21" t="s">
        <v>270</v>
      </c>
      <c r="H21" s="256"/>
      <c r="I21" s="256"/>
      <c r="J21" s="326">
        <f>'Unit rate charges'!J218</f>
        <v>0.75809611326930659</v>
      </c>
      <c r="K21" s="326">
        <f>'Unit rate charges'!K218</f>
        <v>0.75809611326930659</v>
      </c>
      <c r="L21" s="326">
        <f>'Unit rate charges'!L218</f>
        <v>0.81267992382865617</v>
      </c>
      <c r="M21" s="326">
        <f>'Unit rate charges'!M218</f>
        <v>0.81267992382865617</v>
      </c>
      <c r="N21" s="326">
        <f>'Unit rate charges'!N218</f>
        <v>0.49946772809417317</v>
      </c>
      <c r="O21" s="326">
        <f>'Unit rate charges'!O218</f>
        <v>0.28526570901067577</v>
      </c>
      <c r="P21" s="326">
        <f>'Unit rate charges'!P218</f>
        <v>0.15258463627516752</v>
      </c>
      <c r="Q21" s="326">
        <f>'Unit rate charges'!Q218</f>
        <v>2.1179781070660906</v>
      </c>
      <c r="R21" s="326">
        <f>'Unit rate charges'!R218</f>
        <v>-0.51987520174636581</v>
      </c>
      <c r="S21" s="326">
        <f>'Unit rate charges'!S218</f>
        <v>-0.44045574218544947</v>
      </c>
      <c r="T21" s="326">
        <f>'Unit rate charges'!T218</f>
        <v>-0.51987520174636581</v>
      </c>
      <c r="U21" s="326">
        <f>'Unit rate charges'!U218</f>
        <v>-0.51987520174636581</v>
      </c>
      <c r="V21" s="326">
        <f>'Unit rate charges'!V218</f>
        <v>-0.44045574218544947</v>
      </c>
      <c r="W21" s="326">
        <f>'Unit rate charges'!W218</f>
        <v>-0.44045574218544947</v>
      </c>
      <c r="X21" s="326">
        <f>'Unit rate charges'!X218</f>
        <v>-0.19140970918040676</v>
      </c>
      <c r="Y21" s="326">
        <f>'Unit rate charges'!Y218</f>
        <v>-0.19140970918040676</v>
      </c>
      <c r="Z21" s="153"/>
      <c r="AA21" s="153"/>
      <c r="AB21" s="153"/>
      <c r="AC21" s="153"/>
      <c r="AD21" s="153"/>
      <c r="AE21" s="153"/>
      <c r="AF21" s="153"/>
      <c r="AG21" s="153"/>
      <c r="AH21" s="153"/>
      <c r="AI21" s="153"/>
      <c r="AJ21" s="153"/>
      <c r="AK21" s="153"/>
      <c r="AL21" s="153"/>
      <c r="AM21" s="153"/>
      <c r="AN21" s="153"/>
      <c r="AO21" s="153"/>
      <c r="AP21" s="256"/>
      <c r="AQ21" s="256"/>
    </row>
    <row r="22" spans="3:43" x14ac:dyDescent="0.25">
      <c r="D22"/>
      <c r="E22" s="78"/>
      <c r="F22" t="s">
        <v>159</v>
      </c>
      <c r="G22" t="s">
        <v>270</v>
      </c>
      <c r="H22" s="256"/>
      <c r="I22" s="256"/>
      <c r="J22" s="326">
        <f>'Unit rate charges'!J219</f>
        <v>5.3613031602575995E-2</v>
      </c>
      <c r="K22" s="326">
        <f>'Unit rate charges'!K219</f>
        <v>5.3613031602575995E-2</v>
      </c>
      <c r="L22" s="326">
        <f>'Unit rate charges'!L219</f>
        <v>5.7473232847886774E-2</v>
      </c>
      <c r="M22" s="326">
        <f>'Unit rate charges'!M219</f>
        <v>5.7473232847886774E-2</v>
      </c>
      <c r="N22" s="326">
        <f>'Unit rate charges'!N219</f>
        <v>3.3558949876465571E-2</v>
      </c>
      <c r="O22" s="326">
        <f>'Unit rate charges'!O219</f>
        <v>1.6070913442792111E-2</v>
      </c>
      <c r="P22" s="326">
        <f>'Unit rate charges'!P219</f>
        <v>6.2032080266167114E-3</v>
      </c>
      <c r="Q22" s="326">
        <f>'Unit rate charges'!Q219</f>
        <v>1.2251702542152194</v>
      </c>
      <c r="R22" s="326">
        <f>'Unit rate charges'!R219</f>
        <v>-3.6765899643548476E-2</v>
      </c>
      <c r="S22" s="326">
        <f>'Unit rate charges'!S219</f>
        <v>-3.0242775141836327E-2</v>
      </c>
      <c r="T22" s="326">
        <f>'Unit rate charges'!T219</f>
        <v>-3.6765899643548476E-2</v>
      </c>
      <c r="U22" s="326">
        <f>'Unit rate charges'!U219</f>
        <v>-3.6765899643548476E-2</v>
      </c>
      <c r="V22" s="326">
        <f>'Unit rate charges'!V219</f>
        <v>-3.0242775141836327E-2</v>
      </c>
      <c r="W22" s="326">
        <f>'Unit rate charges'!W219</f>
        <v>-3.0242775141836327E-2</v>
      </c>
      <c r="X22" s="326">
        <f>'Unit rate charges'!X219</f>
        <v>-9.8307406073596861E-3</v>
      </c>
      <c r="Y22" s="326">
        <f>'Unit rate charges'!Y219</f>
        <v>-9.8307406073596861E-3</v>
      </c>
      <c r="Z22" s="153"/>
      <c r="AA22" s="153"/>
      <c r="AB22" s="153"/>
      <c r="AC22" s="153"/>
      <c r="AD22" s="153"/>
      <c r="AE22" s="153"/>
      <c r="AF22" s="153"/>
      <c r="AG22" s="153"/>
      <c r="AH22" s="153"/>
      <c r="AI22" s="153"/>
      <c r="AJ22" s="153"/>
      <c r="AK22" s="153"/>
      <c r="AL22" s="153"/>
      <c r="AM22" s="153"/>
      <c r="AN22" s="153"/>
      <c r="AO22" s="153"/>
      <c r="AP22" s="256"/>
      <c r="AQ22" s="256"/>
    </row>
    <row r="23" spans="3:43" x14ac:dyDescent="0.25">
      <c r="D23"/>
      <c r="E23" s="78"/>
      <c r="F23" t="s">
        <v>160</v>
      </c>
      <c r="G23" t="s">
        <v>271</v>
      </c>
      <c r="J23" s="114">
        <f>'Fixed charges'!J161</f>
        <v>6.4450264919713831</v>
      </c>
      <c r="K23" s="114">
        <f>'Fixed charges'!K161</f>
        <v>0</v>
      </c>
      <c r="L23" s="114">
        <f>'Fixed charges'!L161</f>
        <v>11.919761633370076</v>
      </c>
      <c r="M23" s="114">
        <f>'Fixed charges'!M161</f>
        <v>0</v>
      </c>
      <c r="N23" s="114">
        <f>'Fixed charges'!N161</f>
        <v>16.57610077681834</v>
      </c>
      <c r="O23" s="114">
        <f>'Fixed charges'!O161</f>
        <v>12.93942798647695</v>
      </c>
      <c r="P23" s="114">
        <f>'Fixed charges'!P161</f>
        <v>119.45467255437254</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74.759832813677818</v>
      </c>
      <c r="Y23" s="114">
        <f>'Fixed charges'!Y161</f>
        <v>74.759832813677818</v>
      </c>
      <c r="Z23" s="153"/>
      <c r="AA23" s="153"/>
      <c r="AB23" s="153"/>
      <c r="AC23" s="153"/>
      <c r="AD23" s="153"/>
      <c r="AE23" s="153"/>
      <c r="AF23" s="153"/>
      <c r="AG23" s="153"/>
      <c r="AH23" s="153"/>
      <c r="AI23" s="153"/>
      <c r="AJ23" s="153"/>
      <c r="AK23" s="153"/>
      <c r="AL23" s="153"/>
      <c r="AM23" s="153"/>
      <c r="AN23" s="153"/>
      <c r="AO23" s="153"/>
    </row>
    <row r="24" spans="3:43" x14ac:dyDescent="0.25">
      <c r="D24"/>
      <c r="E24" s="78"/>
      <c r="F24" t="s">
        <v>161</v>
      </c>
      <c r="G24" t="s">
        <v>272</v>
      </c>
      <c r="J24" s="114">
        <f>'Capacity charges'!J256</f>
        <v>0</v>
      </c>
      <c r="K24" s="114">
        <f>'Capacity charges'!K256</f>
        <v>0</v>
      </c>
      <c r="L24" s="114">
        <f>'Capacity charges'!L256</f>
        <v>0</v>
      </c>
      <c r="M24" s="114">
        <f>'Capacity charges'!M256</f>
        <v>0</v>
      </c>
      <c r="N24" s="114">
        <f>'Capacity charges'!N256</f>
        <v>5.1751263513126649</v>
      </c>
      <c r="O24" s="114">
        <f>'Capacity charges'!O256</f>
        <v>4.8569968783259014</v>
      </c>
      <c r="P24" s="114">
        <f>'Capacity charges'!P256</f>
        <v>4.0922507787562674</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25">
      <c r="D25"/>
      <c r="E25" s="78"/>
      <c r="F25" t="s">
        <v>162</v>
      </c>
      <c r="G25" t="s">
        <v>272</v>
      </c>
      <c r="J25" s="115">
        <f>'Capacity charges'!J257</f>
        <v>0</v>
      </c>
      <c r="K25" s="115">
        <f>'Capacity charges'!K257</f>
        <v>0</v>
      </c>
      <c r="L25" s="115">
        <f>'Capacity charges'!L257</f>
        <v>0</v>
      </c>
      <c r="M25" s="115">
        <f>'Capacity charges'!M257</f>
        <v>0</v>
      </c>
      <c r="N25" s="115">
        <f>'Capacity charges'!N257</f>
        <v>10.133407692924756</v>
      </c>
      <c r="O25" s="115">
        <f>'Capacity charges'!O257</f>
        <v>8.7728917702555496</v>
      </c>
      <c r="P25" s="115">
        <f>'Capacity charges'!P257</f>
        <v>8.4410149633106037</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25">
      <c r="D26"/>
      <c r="E26" s="78"/>
      <c r="F26" s="28" t="s">
        <v>163</v>
      </c>
      <c r="G26" s="28" t="s">
        <v>273</v>
      </c>
      <c r="H26" s="258"/>
      <c r="I26" s="258"/>
      <c r="J26" s="272">
        <f>'Reactive power charges'!J250</f>
        <v>0</v>
      </c>
      <c r="K26" s="272">
        <f>'Reactive power charges'!K250</f>
        <v>0</v>
      </c>
      <c r="L26" s="272">
        <f>'Reactive power charges'!L250</f>
        <v>0</v>
      </c>
      <c r="M26" s="272">
        <f>'Reactive power charges'!M250</f>
        <v>0</v>
      </c>
      <c r="N26" s="272">
        <f>'Reactive power charges'!N250</f>
        <v>0.14374277388422174</v>
      </c>
      <c r="O26" s="272">
        <f>'Reactive power charges'!O250</f>
        <v>9.2852011484984898E-2</v>
      </c>
      <c r="P26" s="272">
        <f>'Reactive power charges'!P250</f>
        <v>6.0971490491113549E-2</v>
      </c>
      <c r="Q26" s="272">
        <f>'Reactive power charges'!Q250</f>
        <v>0</v>
      </c>
      <c r="R26" s="272">
        <f>'Reactive power charges'!R250</f>
        <v>0</v>
      </c>
      <c r="S26" s="272">
        <f>'Reactive power charges'!S250</f>
        <v>0</v>
      </c>
      <c r="T26" s="272">
        <f>'Reactive power charges'!T250</f>
        <v>0.15293859301027984</v>
      </c>
      <c r="U26" s="272">
        <f>'Reactive power charges'!U250</f>
        <v>0</v>
      </c>
      <c r="V26" s="272">
        <f>'Reactive power charges'!V250</f>
        <v>0.11981639967433741</v>
      </c>
      <c r="W26" s="272">
        <f>'Reactive power charges'!W250</f>
        <v>0</v>
      </c>
      <c r="X26" s="272">
        <f>'Reactive power charges'!X250</f>
        <v>9.1094368372010112E-2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25">
      <c r="D29"/>
      <c r="E29" s="23" t="s">
        <v>875</v>
      </c>
      <c r="F29" s="318"/>
      <c r="G29" t="s">
        <v>271</v>
      </c>
      <c r="J29" s="323">
        <f>'SoLR &amp; bad debt adders'!J51</f>
        <v>0.91306772696471272</v>
      </c>
      <c r="K29" s="323">
        <f>'SoLR &amp; bad debt adders'!K51</f>
        <v>0</v>
      </c>
      <c r="L29" s="323">
        <f>'SoLR &amp; bad debt adders'!L51</f>
        <v>0.71834165313114851</v>
      </c>
      <c r="M29" s="323">
        <f>'SoLR &amp; bad debt adders'!M51</f>
        <v>0</v>
      </c>
      <c r="N29" s="323">
        <f>'SoLR &amp; bad debt adders'!N51</f>
        <v>0.71834165313114851</v>
      </c>
      <c r="O29" s="323">
        <f>'SoLR &amp; bad debt adders'!O51</f>
        <v>0.71834165313114851</v>
      </c>
      <c r="P29" s="323">
        <f>'SoLR &amp; bad debt adders'!P51</f>
        <v>0.71834165313114851</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25">
      <c r="D31"/>
      <c r="E31" s="357" t="str">
        <f>'Fixed inputs'!E164</f>
        <v>Flags for calculation of revenue matching</v>
      </c>
    </row>
    <row r="32" spans="3:43" x14ac:dyDescent="0.25">
      <c r="C32" s="24"/>
      <c r="F32" s="19"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25">
      <c r="C33" s="24"/>
      <c r="D33"/>
      <c r="F33" t="s">
        <v>942</v>
      </c>
      <c r="G33" t="s">
        <v>907</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25">
      <c r="C34" s="24"/>
      <c r="D34"/>
      <c r="F34" t="s">
        <v>943</v>
      </c>
      <c r="G34" t="s">
        <v>907</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25">
      <c r="F35" t="s">
        <v>940</v>
      </c>
      <c r="G35" t="s">
        <v>150</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25">
      <c r="C36" s="24"/>
      <c r="F36" t="s">
        <v>939</v>
      </c>
      <c r="G36" t="s">
        <v>150</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25">
      <c r="D37" s="78"/>
      <c r="F37" s="57" t="s">
        <v>941</v>
      </c>
      <c r="G37" s="28" t="s">
        <v>150</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25">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25">
      <c r="D40"/>
      <c r="E40" s="78"/>
      <c r="F40" s="19" t="s">
        <v>157</v>
      </c>
      <c r="G40" s="19" t="s">
        <v>270</v>
      </c>
      <c r="H40" s="255"/>
      <c r="I40" s="255"/>
      <c r="J40" s="263">
        <f t="shared" ref="J40:AO40" si="0">INDEX($J20:$Y20,J$37)</f>
        <v>15.165099534575806</v>
      </c>
      <c r="K40" s="263">
        <f t="shared" si="0"/>
        <v>15.165099534575806</v>
      </c>
      <c r="L40" s="263">
        <f t="shared" si="0"/>
        <v>16.257004512876239</v>
      </c>
      <c r="M40" s="263">
        <f t="shared" si="0"/>
        <v>16.257004512876239</v>
      </c>
      <c r="N40" s="263">
        <f t="shared" si="0"/>
        <v>16.257004512876239</v>
      </c>
      <c r="O40" s="263">
        <f t="shared" si="0"/>
        <v>16.257004512876239</v>
      </c>
      <c r="P40" s="263">
        <f t="shared" si="0"/>
        <v>16.257004512876239</v>
      </c>
      <c r="Q40" s="263">
        <f t="shared" si="0"/>
        <v>16.257004512876239</v>
      </c>
      <c r="R40" s="263">
        <f t="shared" si="0"/>
        <v>10.983038407396837</v>
      </c>
      <c r="S40" s="263">
        <f t="shared" si="0"/>
        <v>10.983038407396837</v>
      </c>
      <c r="T40" s="263">
        <f t="shared" si="0"/>
        <v>10.983038407396837</v>
      </c>
      <c r="U40" s="263">
        <f t="shared" si="0"/>
        <v>10.983038407396837</v>
      </c>
      <c r="V40" s="263">
        <f t="shared" si="0"/>
        <v>10.983038407396837</v>
      </c>
      <c r="W40" s="263">
        <f t="shared" si="0"/>
        <v>8.013422834799643</v>
      </c>
      <c r="X40" s="263">
        <f t="shared" si="0"/>
        <v>8.013422834799643</v>
      </c>
      <c r="Y40" s="263">
        <f t="shared" si="0"/>
        <v>8.013422834799643</v>
      </c>
      <c r="Z40" s="263">
        <f t="shared" si="0"/>
        <v>8.013422834799643</v>
      </c>
      <c r="AA40" s="263">
        <f t="shared" si="0"/>
        <v>8.013422834799643</v>
      </c>
      <c r="AB40" s="263">
        <f t="shared" si="0"/>
        <v>5.646996018679137</v>
      </c>
      <c r="AC40" s="263">
        <f t="shared" si="0"/>
        <v>5.646996018679137</v>
      </c>
      <c r="AD40" s="263">
        <f t="shared" si="0"/>
        <v>5.646996018679137</v>
      </c>
      <c r="AE40" s="263">
        <f t="shared" si="0"/>
        <v>5.646996018679137</v>
      </c>
      <c r="AF40" s="263">
        <f t="shared" si="0"/>
        <v>5.646996018679137</v>
      </c>
      <c r="AG40" s="263">
        <f t="shared" si="0"/>
        <v>41.835053862971357</v>
      </c>
      <c r="AH40" s="263">
        <f t="shared" si="0"/>
        <v>-10.399682892504964</v>
      </c>
      <c r="AI40" s="263">
        <f t="shared" si="0"/>
        <v>-9.3206261710908951</v>
      </c>
      <c r="AJ40" s="263">
        <f t="shared" si="0"/>
        <v>-10.399682892504964</v>
      </c>
      <c r="AK40" s="263">
        <f t="shared" si="0"/>
        <v>-10.399682892504964</v>
      </c>
      <c r="AL40" s="263">
        <f t="shared" si="0"/>
        <v>-9.3206261710908951</v>
      </c>
      <c r="AM40" s="263">
        <f t="shared" si="0"/>
        <v>-9.3206261710908951</v>
      </c>
      <c r="AN40" s="263">
        <f t="shared" si="0"/>
        <v>-5.9269683096045114</v>
      </c>
      <c r="AO40" s="263">
        <f t="shared" si="0"/>
        <v>-5.9269683096045114</v>
      </c>
      <c r="AP40" s="256"/>
      <c r="AQ40" s="256"/>
    </row>
    <row r="41" spans="3:43" x14ac:dyDescent="0.25">
      <c r="D41"/>
      <c r="E41" s="78"/>
      <c r="F41" t="s">
        <v>158</v>
      </c>
      <c r="G41" t="s">
        <v>270</v>
      </c>
      <c r="H41" s="256"/>
      <c r="I41" s="256"/>
      <c r="J41" s="264">
        <f t="shared" ref="J41:AO41" si="1">INDEX($J21:$Y21,J$37)</f>
        <v>0.75809611326930659</v>
      </c>
      <c r="K41" s="264">
        <f t="shared" si="1"/>
        <v>0.75809611326930659</v>
      </c>
      <c r="L41" s="264">
        <f t="shared" si="1"/>
        <v>0.81267992382865617</v>
      </c>
      <c r="M41" s="264">
        <f t="shared" si="1"/>
        <v>0.81267992382865617</v>
      </c>
      <c r="N41" s="264">
        <f t="shared" si="1"/>
        <v>0.81267992382865617</v>
      </c>
      <c r="O41" s="264">
        <f t="shared" si="1"/>
        <v>0.81267992382865617</v>
      </c>
      <c r="P41" s="264">
        <f t="shared" si="1"/>
        <v>0.81267992382865617</v>
      </c>
      <c r="Q41" s="264">
        <f t="shared" si="1"/>
        <v>0.81267992382865617</v>
      </c>
      <c r="R41" s="264">
        <f t="shared" si="1"/>
        <v>0.49946772809417317</v>
      </c>
      <c r="S41" s="264">
        <f t="shared" si="1"/>
        <v>0.49946772809417317</v>
      </c>
      <c r="T41" s="264">
        <f t="shared" si="1"/>
        <v>0.49946772809417317</v>
      </c>
      <c r="U41" s="264">
        <f t="shared" si="1"/>
        <v>0.49946772809417317</v>
      </c>
      <c r="V41" s="264">
        <f t="shared" si="1"/>
        <v>0.49946772809417317</v>
      </c>
      <c r="W41" s="264">
        <f t="shared" si="1"/>
        <v>0.28526570901067577</v>
      </c>
      <c r="X41" s="264">
        <f t="shared" si="1"/>
        <v>0.28526570901067577</v>
      </c>
      <c r="Y41" s="264">
        <f t="shared" si="1"/>
        <v>0.28526570901067577</v>
      </c>
      <c r="Z41" s="264">
        <f t="shared" si="1"/>
        <v>0.28526570901067577</v>
      </c>
      <c r="AA41" s="264">
        <f t="shared" si="1"/>
        <v>0.28526570901067577</v>
      </c>
      <c r="AB41" s="264">
        <f t="shared" si="1"/>
        <v>0.15258463627516752</v>
      </c>
      <c r="AC41" s="264">
        <f t="shared" si="1"/>
        <v>0.15258463627516752</v>
      </c>
      <c r="AD41" s="264">
        <f t="shared" si="1"/>
        <v>0.15258463627516752</v>
      </c>
      <c r="AE41" s="264">
        <f t="shared" si="1"/>
        <v>0.15258463627516752</v>
      </c>
      <c r="AF41" s="264">
        <f t="shared" si="1"/>
        <v>0.15258463627516752</v>
      </c>
      <c r="AG41" s="264">
        <f t="shared" si="1"/>
        <v>2.1179781070660906</v>
      </c>
      <c r="AH41" s="264">
        <f t="shared" si="1"/>
        <v>-0.51987520174636581</v>
      </c>
      <c r="AI41" s="264">
        <f t="shared" si="1"/>
        <v>-0.44045574218544947</v>
      </c>
      <c r="AJ41" s="264">
        <f t="shared" si="1"/>
        <v>-0.51987520174636581</v>
      </c>
      <c r="AK41" s="264">
        <f t="shared" si="1"/>
        <v>-0.51987520174636581</v>
      </c>
      <c r="AL41" s="264">
        <f t="shared" si="1"/>
        <v>-0.44045574218544947</v>
      </c>
      <c r="AM41" s="264">
        <f t="shared" si="1"/>
        <v>-0.44045574218544947</v>
      </c>
      <c r="AN41" s="264">
        <f t="shared" si="1"/>
        <v>-0.19140970918040676</v>
      </c>
      <c r="AO41" s="264">
        <f t="shared" si="1"/>
        <v>-0.19140970918040676</v>
      </c>
      <c r="AP41" s="256"/>
      <c r="AQ41" s="256"/>
    </row>
    <row r="42" spans="3:43" x14ac:dyDescent="0.25">
      <c r="D42"/>
      <c r="E42" s="78"/>
      <c r="F42" t="s">
        <v>159</v>
      </c>
      <c r="G42" t="s">
        <v>270</v>
      </c>
      <c r="H42" s="256"/>
      <c r="I42" s="256"/>
      <c r="J42" s="264">
        <f t="shared" ref="J42:AO42" si="2">INDEX($J22:$Y22,J$37)</f>
        <v>5.3613031602575995E-2</v>
      </c>
      <c r="K42" s="264">
        <f t="shared" si="2"/>
        <v>5.3613031602575995E-2</v>
      </c>
      <c r="L42" s="264">
        <f t="shared" si="2"/>
        <v>5.7473232847886774E-2</v>
      </c>
      <c r="M42" s="264">
        <f t="shared" si="2"/>
        <v>5.7473232847886774E-2</v>
      </c>
      <c r="N42" s="264">
        <f t="shared" si="2"/>
        <v>5.7473232847886774E-2</v>
      </c>
      <c r="O42" s="264">
        <f t="shared" si="2"/>
        <v>5.7473232847886774E-2</v>
      </c>
      <c r="P42" s="264">
        <f t="shared" si="2"/>
        <v>5.7473232847886774E-2</v>
      </c>
      <c r="Q42" s="264">
        <f t="shared" si="2"/>
        <v>5.7473232847886774E-2</v>
      </c>
      <c r="R42" s="264">
        <f t="shared" si="2"/>
        <v>3.3558949876465571E-2</v>
      </c>
      <c r="S42" s="264">
        <f t="shared" si="2"/>
        <v>3.3558949876465571E-2</v>
      </c>
      <c r="T42" s="264">
        <f t="shared" si="2"/>
        <v>3.3558949876465571E-2</v>
      </c>
      <c r="U42" s="264">
        <f t="shared" si="2"/>
        <v>3.3558949876465571E-2</v>
      </c>
      <c r="V42" s="264">
        <f t="shared" si="2"/>
        <v>3.3558949876465571E-2</v>
      </c>
      <c r="W42" s="264">
        <f t="shared" si="2"/>
        <v>1.6070913442792111E-2</v>
      </c>
      <c r="X42" s="264">
        <f t="shared" si="2"/>
        <v>1.6070913442792111E-2</v>
      </c>
      <c r="Y42" s="264">
        <f t="shared" si="2"/>
        <v>1.6070913442792111E-2</v>
      </c>
      <c r="Z42" s="264">
        <f t="shared" si="2"/>
        <v>1.6070913442792111E-2</v>
      </c>
      <c r="AA42" s="264">
        <f t="shared" si="2"/>
        <v>1.6070913442792111E-2</v>
      </c>
      <c r="AB42" s="264">
        <f t="shared" si="2"/>
        <v>6.2032080266167114E-3</v>
      </c>
      <c r="AC42" s="264">
        <f t="shared" si="2"/>
        <v>6.2032080266167114E-3</v>
      </c>
      <c r="AD42" s="264">
        <f t="shared" si="2"/>
        <v>6.2032080266167114E-3</v>
      </c>
      <c r="AE42" s="264">
        <f t="shared" si="2"/>
        <v>6.2032080266167114E-3</v>
      </c>
      <c r="AF42" s="264">
        <f t="shared" si="2"/>
        <v>6.2032080266167114E-3</v>
      </c>
      <c r="AG42" s="264">
        <f t="shared" si="2"/>
        <v>1.2251702542152194</v>
      </c>
      <c r="AH42" s="264">
        <f t="shared" si="2"/>
        <v>-3.6765899643548476E-2</v>
      </c>
      <c r="AI42" s="264">
        <f t="shared" si="2"/>
        <v>-3.0242775141836327E-2</v>
      </c>
      <c r="AJ42" s="264">
        <f t="shared" si="2"/>
        <v>-3.6765899643548476E-2</v>
      </c>
      <c r="AK42" s="264">
        <f t="shared" si="2"/>
        <v>-3.6765899643548476E-2</v>
      </c>
      <c r="AL42" s="264">
        <f t="shared" si="2"/>
        <v>-3.0242775141836327E-2</v>
      </c>
      <c r="AM42" s="264">
        <f t="shared" si="2"/>
        <v>-3.0242775141836327E-2</v>
      </c>
      <c r="AN42" s="264">
        <f t="shared" si="2"/>
        <v>-9.8307406073596861E-3</v>
      </c>
      <c r="AO42" s="264">
        <f t="shared" si="2"/>
        <v>-9.8307406073596861E-3</v>
      </c>
      <c r="AP42" s="256"/>
      <c r="AQ42" s="256"/>
    </row>
    <row r="43" spans="3:43" x14ac:dyDescent="0.25">
      <c r="D43"/>
      <c r="E43" s="78"/>
      <c r="F43" t="s">
        <v>160</v>
      </c>
      <c r="G43" t="s">
        <v>271</v>
      </c>
      <c r="J43" s="189">
        <f t="shared" ref="J43:AO43" si="3">INDEX($J23:$Y23,J$37)</f>
        <v>6.4450264919713831</v>
      </c>
      <c r="K43" s="189">
        <f t="shared" si="3"/>
        <v>0</v>
      </c>
      <c r="L43" s="189">
        <f t="shared" si="3"/>
        <v>11.919761633370076</v>
      </c>
      <c r="M43" s="189">
        <f t="shared" si="3"/>
        <v>11.919761633370076</v>
      </c>
      <c r="N43" s="189">
        <f t="shared" si="3"/>
        <v>11.919761633370076</v>
      </c>
      <c r="O43" s="189">
        <f t="shared" si="3"/>
        <v>11.919761633370076</v>
      </c>
      <c r="P43" s="189">
        <f t="shared" si="3"/>
        <v>11.919761633370076</v>
      </c>
      <c r="Q43" s="189">
        <f t="shared" si="3"/>
        <v>0</v>
      </c>
      <c r="R43" s="189">
        <f t="shared" si="3"/>
        <v>16.57610077681834</v>
      </c>
      <c r="S43" s="189">
        <f t="shared" si="3"/>
        <v>16.57610077681834</v>
      </c>
      <c r="T43" s="189">
        <f t="shared" si="3"/>
        <v>16.57610077681834</v>
      </c>
      <c r="U43" s="189">
        <f t="shared" si="3"/>
        <v>16.57610077681834</v>
      </c>
      <c r="V43" s="189">
        <f t="shared" si="3"/>
        <v>16.57610077681834</v>
      </c>
      <c r="W43" s="189">
        <f t="shared" si="3"/>
        <v>12.93942798647695</v>
      </c>
      <c r="X43" s="189">
        <f t="shared" si="3"/>
        <v>12.93942798647695</v>
      </c>
      <c r="Y43" s="189">
        <f t="shared" si="3"/>
        <v>12.93942798647695</v>
      </c>
      <c r="Z43" s="189">
        <f t="shared" si="3"/>
        <v>12.93942798647695</v>
      </c>
      <c r="AA43" s="189">
        <f t="shared" si="3"/>
        <v>12.93942798647695</v>
      </c>
      <c r="AB43" s="189">
        <f t="shared" si="3"/>
        <v>119.45467255437254</v>
      </c>
      <c r="AC43" s="189">
        <f t="shared" si="3"/>
        <v>119.45467255437254</v>
      </c>
      <c r="AD43" s="189">
        <f t="shared" si="3"/>
        <v>119.45467255437254</v>
      </c>
      <c r="AE43" s="189">
        <f t="shared" si="3"/>
        <v>119.45467255437254</v>
      </c>
      <c r="AF43" s="189">
        <f t="shared" si="3"/>
        <v>119.45467255437254</v>
      </c>
      <c r="AG43" s="189">
        <f t="shared" si="3"/>
        <v>0</v>
      </c>
      <c r="AH43" s="189">
        <f t="shared" si="3"/>
        <v>0</v>
      </c>
      <c r="AI43" s="189">
        <f t="shared" si="3"/>
        <v>0</v>
      </c>
      <c r="AJ43" s="189">
        <f t="shared" si="3"/>
        <v>0</v>
      </c>
      <c r="AK43" s="189">
        <f t="shared" si="3"/>
        <v>0</v>
      </c>
      <c r="AL43" s="189">
        <f t="shared" si="3"/>
        <v>0</v>
      </c>
      <c r="AM43" s="189">
        <f t="shared" si="3"/>
        <v>0</v>
      </c>
      <c r="AN43" s="189">
        <f t="shared" si="3"/>
        <v>74.759832813677818</v>
      </c>
      <c r="AO43" s="189">
        <f t="shared" si="3"/>
        <v>74.759832813677818</v>
      </c>
    </row>
    <row r="44" spans="3:43" x14ac:dyDescent="0.25">
      <c r="D44"/>
      <c r="E44" s="78"/>
      <c r="F44" t="s">
        <v>161</v>
      </c>
      <c r="G44" t="s">
        <v>272</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5.1751263513126649</v>
      </c>
      <c r="S44" s="189">
        <f t="shared" si="4"/>
        <v>5.1751263513126649</v>
      </c>
      <c r="T44" s="189">
        <f t="shared" si="4"/>
        <v>5.1751263513126649</v>
      </c>
      <c r="U44" s="189">
        <f t="shared" si="4"/>
        <v>5.1751263513126649</v>
      </c>
      <c r="V44" s="189">
        <f t="shared" si="4"/>
        <v>5.1751263513126649</v>
      </c>
      <c r="W44" s="189">
        <f t="shared" si="4"/>
        <v>4.8569968783259014</v>
      </c>
      <c r="X44" s="189">
        <f t="shared" si="4"/>
        <v>4.8569968783259014</v>
      </c>
      <c r="Y44" s="189">
        <f t="shared" si="4"/>
        <v>4.8569968783259014</v>
      </c>
      <c r="Z44" s="189">
        <f t="shared" si="4"/>
        <v>4.8569968783259014</v>
      </c>
      <c r="AA44" s="189">
        <f t="shared" si="4"/>
        <v>4.8569968783259014</v>
      </c>
      <c r="AB44" s="189">
        <f t="shared" si="4"/>
        <v>4.0922507787562674</v>
      </c>
      <c r="AC44" s="189">
        <f t="shared" si="4"/>
        <v>4.0922507787562674</v>
      </c>
      <c r="AD44" s="189">
        <f t="shared" si="4"/>
        <v>4.0922507787562674</v>
      </c>
      <c r="AE44" s="189">
        <f t="shared" si="4"/>
        <v>4.0922507787562674</v>
      </c>
      <c r="AF44" s="189">
        <f t="shared" si="4"/>
        <v>4.0922507787562674</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25">
      <c r="D45"/>
      <c r="E45" s="78"/>
      <c r="F45" t="s">
        <v>162</v>
      </c>
      <c r="G45" t="s">
        <v>272</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10.133407692924756</v>
      </c>
      <c r="S45" s="189">
        <f t="shared" si="5"/>
        <v>10.133407692924756</v>
      </c>
      <c r="T45" s="189">
        <f t="shared" si="5"/>
        <v>10.133407692924756</v>
      </c>
      <c r="U45" s="189">
        <f t="shared" si="5"/>
        <v>10.133407692924756</v>
      </c>
      <c r="V45" s="189">
        <f t="shared" si="5"/>
        <v>10.133407692924756</v>
      </c>
      <c r="W45" s="189">
        <f t="shared" si="5"/>
        <v>8.7728917702555496</v>
      </c>
      <c r="X45" s="189">
        <f t="shared" si="5"/>
        <v>8.7728917702555496</v>
      </c>
      <c r="Y45" s="189">
        <f t="shared" si="5"/>
        <v>8.7728917702555496</v>
      </c>
      <c r="Z45" s="189">
        <f t="shared" si="5"/>
        <v>8.7728917702555496</v>
      </c>
      <c r="AA45" s="189">
        <f t="shared" si="5"/>
        <v>8.7728917702555496</v>
      </c>
      <c r="AB45" s="189">
        <f t="shared" si="5"/>
        <v>8.4410149633106037</v>
      </c>
      <c r="AC45" s="189">
        <f t="shared" si="5"/>
        <v>8.4410149633106037</v>
      </c>
      <c r="AD45" s="189">
        <f t="shared" si="5"/>
        <v>8.4410149633106037</v>
      </c>
      <c r="AE45" s="189">
        <f t="shared" si="5"/>
        <v>8.4410149633106037</v>
      </c>
      <c r="AF45" s="189">
        <f t="shared" si="5"/>
        <v>8.4410149633106037</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25">
      <c r="D46"/>
      <c r="E46" s="78"/>
      <c r="F46" s="28" t="s">
        <v>163</v>
      </c>
      <c r="G46" s="28" t="s">
        <v>273</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0.14374277388422174</v>
      </c>
      <c r="S46" s="265">
        <f t="shared" si="6"/>
        <v>0.14374277388422174</v>
      </c>
      <c r="T46" s="265">
        <f t="shared" si="6"/>
        <v>0.14374277388422174</v>
      </c>
      <c r="U46" s="265">
        <f t="shared" si="6"/>
        <v>0.14374277388422174</v>
      </c>
      <c r="V46" s="265">
        <f t="shared" si="6"/>
        <v>0.14374277388422174</v>
      </c>
      <c r="W46" s="265">
        <f t="shared" si="6"/>
        <v>9.2852011484984898E-2</v>
      </c>
      <c r="X46" s="265">
        <f t="shared" si="6"/>
        <v>9.2852011484984898E-2</v>
      </c>
      <c r="Y46" s="265">
        <f t="shared" si="6"/>
        <v>9.2852011484984898E-2</v>
      </c>
      <c r="Z46" s="265">
        <f t="shared" si="6"/>
        <v>9.2852011484984898E-2</v>
      </c>
      <c r="AA46" s="265">
        <f t="shared" si="6"/>
        <v>9.2852011484984898E-2</v>
      </c>
      <c r="AB46" s="265">
        <f t="shared" si="6"/>
        <v>6.0971490491113549E-2</v>
      </c>
      <c r="AC46" s="265">
        <f t="shared" si="6"/>
        <v>6.0971490491113549E-2</v>
      </c>
      <c r="AD46" s="265">
        <f t="shared" si="6"/>
        <v>6.0971490491113549E-2</v>
      </c>
      <c r="AE46" s="265">
        <f t="shared" si="6"/>
        <v>6.0971490491113549E-2</v>
      </c>
      <c r="AF46" s="265">
        <f t="shared" si="6"/>
        <v>6.0971490491113549E-2</v>
      </c>
      <c r="AG46" s="265">
        <f t="shared" si="6"/>
        <v>0</v>
      </c>
      <c r="AH46" s="265">
        <f t="shared" si="6"/>
        <v>0</v>
      </c>
      <c r="AI46" s="265">
        <f t="shared" si="6"/>
        <v>0</v>
      </c>
      <c r="AJ46" s="265">
        <f t="shared" si="6"/>
        <v>0.15293859301027984</v>
      </c>
      <c r="AK46" s="265">
        <f t="shared" si="6"/>
        <v>0</v>
      </c>
      <c r="AL46" s="265">
        <f t="shared" si="6"/>
        <v>0.11981639967433741</v>
      </c>
      <c r="AM46" s="265">
        <f t="shared" si="6"/>
        <v>0</v>
      </c>
      <c r="AN46" s="265">
        <f t="shared" si="6"/>
        <v>9.1094368372010112E-2</v>
      </c>
      <c r="AO46" s="265">
        <f t="shared" si="6"/>
        <v>0</v>
      </c>
      <c r="AP46" s="256"/>
      <c r="AQ46" s="256"/>
    </row>
    <row r="47" spans="3: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25">
      <c r="D48"/>
      <c r="E48" s="23" t="s">
        <v>875</v>
      </c>
      <c r="F48" s="318"/>
      <c r="G48" t="s">
        <v>271</v>
      </c>
      <c r="J48" s="189">
        <f>INDEX($J29:$Y29,J$37)</f>
        <v>0.91306772696471272</v>
      </c>
      <c r="K48" s="189">
        <f t="shared" ref="K48:AO48" si="7">INDEX($J29:$Y29,K$37)</f>
        <v>0</v>
      </c>
      <c r="L48" s="189">
        <f t="shared" si="7"/>
        <v>0.71834165313114851</v>
      </c>
      <c r="M48" s="189">
        <f t="shared" si="7"/>
        <v>0.71834165313114851</v>
      </c>
      <c r="N48" s="189">
        <f t="shared" si="7"/>
        <v>0.71834165313114851</v>
      </c>
      <c r="O48" s="189">
        <f t="shared" si="7"/>
        <v>0.71834165313114851</v>
      </c>
      <c r="P48" s="189">
        <f t="shared" si="7"/>
        <v>0.71834165313114851</v>
      </c>
      <c r="Q48" s="189">
        <f t="shared" si="7"/>
        <v>0</v>
      </c>
      <c r="R48" s="189">
        <f t="shared" si="7"/>
        <v>0.71834165313114851</v>
      </c>
      <c r="S48" s="189">
        <f t="shared" si="7"/>
        <v>0.71834165313114851</v>
      </c>
      <c r="T48" s="189">
        <f t="shared" si="7"/>
        <v>0.71834165313114851</v>
      </c>
      <c r="U48" s="189">
        <f t="shared" si="7"/>
        <v>0.71834165313114851</v>
      </c>
      <c r="V48" s="189">
        <f t="shared" si="7"/>
        <v>0.71834165313114851</v>
      </c>
      <c r="W48" s="189">
        <f t="shared" si="7"/>
        <v>0.71834165313114851</v>
      </c>
      <c r="X48" s="189">
        <f t="shared" si="7"/>
        <v>0.71834165313114851</v>
      </c>
      <c r="Y48" s="189">
        <f t="shared" si="7"/>
        <v>0.71834165313114851</v>
      </c>
      <c r="Z48" s="189">
        <f t="shared" si="7"/>
        <v>0.71834165313114851</v>
      </c>
      <c r="AA48" s="189">
        <f t="shared" si="7"/>
        <v>0.71834165313114851</v>
      </c>
      <c r="AB48" s="189">
        <f t="shared" si="7"/>
        <v>0.71834165313114851</v>
      </c>
      <c r="AC48" s="189">
        <f t="shared" si="7"/>
        <v>0.71834165313114851</v>
      </c>
      <c r="AD48" s="189">
        <f t="shared" si="7"/>
        <v>0.71834165313114851</v>
      </c>
      <c r="AE48" s="189">
        <f t="shared" si="7"/>
        <v>0.71834165313114851</v>
      </c>
      <c r="AF48" s="189">
        <f t="shared" si="7"/>
        <v>0.71834165313114851</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157</v>
      </c>
      <c r="G53" s="19" t="s">
        <v>208</v>
      </c>
      <c r="H53" s="310">
        <v>0</v>
      </c>
      <c r="I53" s="19"/>
      <c r="J53" s="183">
        <f>INDEX('Volume adjustments'!$J$481:$Y$521, J$36 + 1 + $H53*$H$59, J$37)</f>
        <v>428149.96695391025</v>
      </c>
      <c r="K53" s="183">
        <f>INDEX('Volume adjustments'!$J$481:$Y$521, K$36 + 1 + $H53*$H$59, K$37)</f>
        <v>35.655431680661394</v>
      </c>
      <c r="L53" s="183">
        <f>INDEX('Volume adjustments'!$J$481:$Y$521, L$36 + 1 + $H53*$H$59, L$37)</f>
        <v>1.96160685643024</v>
      </c>
      <c r="M53" s="183">
        <f>INDEX('Volume adjustments'!$J$481:$Y$521, M$36 + 1 + $H53*$H$59, M$37)</f>
        <v>5235.0466934216884</v>
      </c>
      <c r="N53" s="183">
        <f>INDEX('Volume adjustments'!$J$481:$Y$521, N$36 + 1 + $H53*$H$59, N$37)</f>
        <v>20940.267245206513</v>
      </c>
      <c r="O53" s="183">
        <f>INDEX('Volume adjustments'!$J$481:$Y$521, O$36 + 1 + $H53*$H$59, O$37)</f>
        <v>20624.645486863392</v>
      </c>
      <c r="P53" s="183">
        <f>INDEX('Volume adjustments'!$J$481:$Y$521, P$36 + 1 + $H53*$H$59, P$37)</f>
        <v>68469.340478195896</v>
      </c>
      <c r="Q53" s="183">
        <f>INDEX('Volume adjustments'!$J$481:$Y$521, Q$36 + 1 + $H53*$H$59, Q$37)</f>
        <v>26.359392987120788</v>
      </c>
      <c r="R53" s="183">
        <f>INDEX('Volume adjustments'!$J$481:$Y$521, R$36 + 1 + $H53*$H$59, R$37)</f>
        <v>115.21540671198797</v>
      </c>
      <c r="S53" s="183">
        <f>INDEX('Volume adjustments'!$J$481:$Y$521, S$36 + 1 + $H53*$H$59, S$37)</f>
        <v>26495.064417118472</v>
      </c>
      <c r="T53" s="183">
        <f>INDEX('Volume adjustments'!$J$481:$Y$521, T$36 + 1 + $H53*$H$59, T$37)</f>
        <v>30424.153241403488</v>
      </c>
      <c r="U53" s="183">
        <f>INDEX('Volume adjustments'!$J$481:$Y$521, U$36 + 1 + $H53*$H$59, U$37)</f>
        <v>15193.744315755326</v>
      </c>
      <c r="V53" s="183">
        <f>INDEX('Volume adjustments'!$J$481:$Y$521, V$36 + 1 + $H53*$H$59, V$37)</f>
        <v>18031.718479651252</v>
      </c>
      <c r="W53" s="183">
        <f>INDEX('Volume adjustments'!$J$481:$Y$521, W$36 + 1 + $H53*$H$59, W$37)</f>
        <v>40.50566821701743</v>
      </c>
      <c r="X53" s="183">
        <f>INDEX('Volume adjustments'!$J$481:$Y$521, X$36 + 1 + $H53*$H$59, X$37)</f>
        <v>2585.7970480219956</v>
      </c>
      <c r="Y53" s="183">
        <f>INDEX('Volume adjustments'!$J$481:$Y$521, Y$36 + 1 + $H53*$H$59, Y$37)</f>
        <v>6345.3343086963314</v>
      </c>
      <c r="Z53" s="183">
        <f>INDEX('Volume adjustments'!$J$481:$Y$521, Z$36 + 1 + $H53*$H$59, Z$37)</f>
        <v>6497.4655574616236</v>
      </c>
      <c r="AA53" s="183">
        <f>INDEX('Volume adjustments'!$J$481:$Y$521, AA$36 + 1 + $H53*$H$59, AA$37)</f>
        <v>26826.024693327614</v>
      </c>
      <c r="AB53" s="183">
        <f>INDEX('Volume adjustments'!$J$481:$Y$521, AB$36 + 1 + $H53*$H$59, AB$37)</f>
        <v>392.63546480335503</v>
      </c>
      <c r="AC53" s="183">
        <f>INDEX('Volume adjustments'!$J$481:$Y$521, AC$36 + 1 + $H53*$H$59, AC$37)</f>
        <v>11897.763654976701</v>
      </c>
      <c r="AD53" s="183">
        <f>INDEX('Volume adjustments'!$J$481:$Y$521, AD$36 + 1 + $H53*$H$59, AD$37)</f>
        <v>36605.401772557096</v>
      </c>
      <c r="AE53" s="183">
        <f>INDEX('Volume adjustments'!$J$481:$Y$521, AE$36 + 1 + $H53*$H$59, AE$37)</f>
        <v>25009.223777414958</v>
      </c>
      <c r="AF53" s="183">
        <f>INDEX('Volume adjustments'!$J$481:$Y$521, AF$36 + 1 + $H53*$H$59, AF$37)</f>
        <v>66727.252300957931</v>
      </c>
      <c r="AG53" s="183">
        <f>INDEX('Volume adjustments'!$J$481:$Y$521, AG$36 + 1 + $H53*$H$59, AG$37)</f>
        <v>3026.8327703338973</v>
      </c>
      <c r="AH53" s="183">
        <f>INDEX('Volume adjustments'!$J$481:$Y$521, AH$36 + 1 + $H53*$H$59, AH$37)</f>
        <v>457.81298617729391</v>
      </c>
      <c r="AI53" s="183">
        <f>INDEX('Volume adjustments'!$J$481:$Y$521, AI$36 + 1 + $H53*$H$59, AI$37)</f>
        <v>0</v>
      </c>
      <c r="AJ53" s="183">
        <f>INDEX('Volume adjustments'!$J$481:$Y$521, AJ$36 + 1 + $H53*$H$59, AJ$37)</f>
        <v>3301.2298045794673</v>
      </c>
      <c r="AK53" s="183">
        <f>INDEX('Volume adjustments'!$J$481:$Y$521, AK$36 + 1 + $H53*$H$59, AK$37)</f>
        <v>0</v>
      </c>
      <c r="AL53" s="183">
        <f>INDEX('Volume adjustments'!$J$481:$Y$521, AL$36 + 1 + $H53*$H$59, AL$37)</f>
        <v>811.80541464978148</v>
      </c>
      <c r="AM53" s="183">
        <f>INDEX('Volume adjustments'!$J$481:$Y$521, AM$36 + 1 + $H53*$H$59, AM$37)</f>
        <v>0</v>
      </c>
      <c r="AN53" s="183">
        <f>INDEX('Volume adjustments'!$J$481:$Y$521, AN$36 + 1 + $H53*$H$59, AN$37)</f>
        <v>36268.325369716345</v>
      </c>
      <c r="AO53" s="183">
        <f>INDEX('Volume adjustments'!$J$481:$Y$521, AO$36 + 1 + $H53*$H$59, AO$37)</f>
        <v>0</v>
      </c>
    </row>
    <row r="54" spans="4:41" x14ac:dyDescent="0.25">
      <c r="D54" s="78"/>
      <c r="F54" t="s">
        <v>158</v>
      </c>
      <c r="G54" t="s">
        <v>208</v>
      </c>
      <c r="H54" s="355">
        <v>1</v>
      </c>
      <c r="J54" s="323">
        <f>INDEX('Volume adjustments'!$J$481:$Y$521, J$36 + 1 + $H54*$H$59, J$37)</f>
        <v>2239763.2669037757</v>
      </c>
      <c r="K54" s="323">
        <f>INDEX('Volume adjustments'!$J$481:$Y$521, K$36 + 1 + $H54*$H$59, K$37)</f>
        <v>3242.2928055299481</v>
      </c>
      <c r="L54" s="323">
        <f>INDEX('Volume adjustments'!$J$481:$Y$521, L$36 + 1 + $H54*$H$59, L$37)</f>
        <v>15.655645106239813</v>
      </c>
      <c r="M54" s="323">
        <f>INDEX('Volume adjustments'!$J$481:$Y$521, M$36 + 1 + $H54*$H$59, M$37)</f>
        <v>41781.069880614392</v>
      </c>
      <c r="N54" s="323">
        <f>INDEX('Volume adjustments'!$J$481:$Y$521, N$36 + 1 + $H54*$H$59, N$37)</f>
        <v>167124.92176815029</v>
      </c>
      <c r="O54" s="323">
        <f>INDEX('Volume adjustments'!$J$481:$Y$521, O$36 + 1 + $H54*$H$59, O$37)</f>
        <v>164605.93473452039</v>
      </c>
      <c r="P54" s="323">
        <f>INDEX('Volume adjustments'!$J$481:$Y$521, P$36 + 1 + $H54*$H$59, P$37)</f>
        <v>546455.9280424068</v>
      </c>
      <c r="Q54" s="323">
        <f>INDEX('Volume adjustments'!$J$481:$Y$521, Q$36 + 1 + $H54*$H$59, Q$37)</f>
        <v>1539.4768248033429</v>
      </c>
      <c r="R54" s="323">
        <f>INDEX('Volume adjustments'!$J$481:$Y$521, R$36 + 1 + $H54*$H$59, R$37)</f>
        <v>828.78531134544824</v>
      </c>
      <c r="S54" s="323">
        <f>INDEX('Volume adjustments'!$J$481:$Y$521, S$36 + 1 + $H54*$H$59, S$37)</f>
        <v>190588.40166186271</v>
      </c>
      <c r="T54" s="323">
        <f>INDEX('Volume adjustments'!$J$481:$Y$521, T$36 + 1 + $H54*$H$59, T$37)</f>
        <v>218851.73203988376</v>
      </c>
      <c r="U54" s="323">
        <f>INDEX('Volume adjustments'!$J$481:$Y$521, U$36 + 1 + $H54*$H$59, U$37)</f>
        <v>109293.99524418115</v>
      </c>
      <c r="V54" s="323">
        <f>INDEX('Volume adjustments'!$J$481:$Y$521, V$36 + 1 + $H54*$H$59, V$37)</f>
        <v>129708.55062473423</v>
      </c>
      <c r="W54" s="323">
        <f>INDEX('Volume adjustments'!$J$481:$Y$521, W$36 + 1 + $H54*$H$59, W$37)</f>
        <v>296.80151854627934</v>
      </c>
      <c r="X54" s="323">
        <f>INDEX('Volume adjustments'!$J$481:$Y$521, X$36 + 1 + $H54*$H$59, X$37)</f>
        <v>18947.187499624615</v>
      </c>
      <c r="Y54" s="323">
        <f>INDEX('Volume adjustments'!$J$481:$Y$521, Y$36 + 1 + $H54*$H$59, Y$37)</f>
        <v>46494.847299264009</v>
      </c>
      <c r="Z54" s="323">
        <f>INDEX('Volume adjustments'!$J$481:$Y$521, Z$36 + 1 + $H54*$H$59, Z$37)</f>
        <v>47609.574882820096</v>
      </c>
      <c r="AA54" s="323">
        <f>INDEX('Volume adjustments'!$J$481:$Y$521, AA$36 + 1 + $H54*$H$59, AA$37)</f>
        <v>196565.20225469553</v>
      </c>
      <c r="AB54" s="323">
        <f>INDEX('Volume adjustments'!$J$481:$Y$521, AB$36 + 1 + $H54*$H$59, AB$37)</f>
        <v>2726.1973322754607</v>
      </c>
      <c r="AC54" s="323">
        <f>INDEX('Volume adjustments'!$J$481:$Y$521, AC$36 + 1 + $H54*$H$59, AC$37)</f>
        <v>82610.091150289431</v>
      </c>
      <c r="AD54" s="323">
        <f>INDEX('Volume adjustments'!$J$481:$Y$521, AD$36 + 1 + $H54*$H$59, AD$37)</f>
        <v>254163.35915859387</v>
      </c>
      <c r="AE54" s="323">
        <f>INDEX('Volume adjustments'!$J$481:$Y$521, AE$36 + 1 + $H54*$H$59, AE$37)</f>
        <v>173647.27656075475</v>
      </c>
      <c r="AF54" s="323">
        <f>INDEX('Volume adjustments'!$J$481:$Y$521, AF$36 + 1 + $H54*$H$59, AF$37)</f>
        <v>463309.28690827882</v>
      </c>
      <c r="AG54" s="323">
        <f>INDEX('Volume adjustments'!$J$481:$Y$521, AG$36 + 1 + $H54*$H$59, AG$37)</f>
        <v>28127.672923672086</v>
      </c>
      <c r="AH54" s="323">
        <f>INDEX('Volume adjustments'!$J$481:$Y$521, AH$36 + 1 + $H54*$H$59, AH$37)</f>
        <v>4560.9701820488117</v>
      </c>
      <c r="AI54" s="323">
        <f>INDEX('Volume adjustments'!$J$481:$Y$521, AI$36 + 1 + $H54*$H$59, AI$37)</f>
        <v>0</v>
      </c>
      <c r="AJ54" s="323">
        <f>INDEX('Volume adjustments'!$J$481:$Y$521, AJ$36 + 1 + $H54*$H$59, AJ$37)</f>
        <v>31812.380256598921</v>
      </c>
      <c r="AK54" s="323">
        <f>INDEX('Volume adjustments'!$J$481:$Y$521, AK$36 + 1 + $H54*$H$59, AK$37)</f>
        <v>0</v>
      </c>
      <c r="AL54" s="323">
        <f>INDEX('Volume adjustments'!$J$481:$Y$521, AL$36 + 1 + $H54*$H$59, AL$37)</f>
        <v>7185.4690196373358</v>
      </c>
      <c r="AM54" s="323">
        <f>INDEX('Volume adjustments'!$J$481:$Y$521, AM$36 + 1 + $H54*$H$59, AM$37)</f>
        <v>0</v>
      </c>
      <c r="AN54" s="323">
        <f>INDEX('Volume adjustments'!$J$481:$Y$521, AN$36 + 1 + $H54*$H$59, AN$37)</f>
        <v>289073.53494591836</v>
      </c>
      <c r="AO54" s="323">
        <f>INDEX('Volume adjustments'!$J$481:$Y$521, AO$36 + 1 + $H54*$H$59, AO$37)</f>
        <v>0</v>
      </c>
    </row>
    <row r="55" spans="4:41" x14ac:dyDescent="0.25">
      <c r="D55" s="78"/>
      <c r="F55" t="s">
        <v>159</v>
      </c>
      <c r="G55" t="s">
        <v>208</v>
      </c>
      <c r="H55" s="355">
        <v>2</v>
      </c>
      <c r="J55" s="323">
        <f>INDEX('Volume adjustments'!$J$481:$Y$521, J$36 + 1 + $H55*$H$59, J$37)</f>
        <v>2506644.8271904094</v>
      </c>
      <c r="K55" s="323">
        <f>INDEX('Volume adjustments'!$J$481:$Y$521, K$36 + 1 + $H55*$H$59, K$37)</f>
        <v>25948.408931906615</v>
      </c>
      <c r="L55" s="323">
        <f>INDEX('Volume adjustments'!$J$481:$Y$521, L$36 + 1 + $H55*$H$59, L$37)</f>
        <v>13.339105581449177</v>
      </c>
      <c r="M55" s="323">
        <f>INDEX('Volume adjustments'!$J$481:$Y$521, M$36 + 1 + $H55*$H$59, M$37)</f>
        <v>35598.7951094581</v>
      </c>
      <c r="N55" s="323">
        <f>INDEX('Volume adjustments'!$J$481:$Y$521, N$36 + 1 + $H55*$H$59, N$37)</f>
        <v>142395.72765150815</v>
      </c>
      <c r="O55" s="323">
        <f>INDEX('Volume adjustments'!$J$481:$Y$521, O$36 + 1 + $H55*$H$59, O$37)</f>
        <v>140249.47090054885</v>
      </c>
      <c r="P55" s="323">
        <f>INDEX('Volume adjustments'!$J$481:$Y$521, P$36 + 1 + $H55*$H$59, P$37)</f>
        <v>465597.76172118366</v>
      </c>
      <c r="Q55" s="323">
        <f>INDEX('Volume adjustments'!$J$481:$Y$521, Q$36 + 1 + $H55*$H$59, Q$37)</f>
        <v>10781.362867132962</v>
      </c>
      <c r="R55" s="323">
        <f>INDEX('Volume adjustments'!$J$481:$Y$521, R$36 + 1 + $H55*$H$59, R$37)</f>
        <v>739.22191634681985</v>
      </c>
      <c r="S55" s="323">
        <f>INDEX('Volume adjustments'!$J$481:$Y$521, S$36 + 1 + $H55*$H$59, S$37)</f>
        <v>169992.30268842934</v>
      </c>
      <c r="T55" s="323">
        <f>INDEX('Volume adjustments'!$J$481:$Y$521, T$36 + 1 + $H55*$H$59, T$37)</f>
        <v>195201.33204546099</v>
      </c>
      <c r="U55" s="323">
        <f>INDEX('Volume adjustments'!$J$481:$Y$521, U$36 + 1 + $H55*$H$59, U$37)</f>
        <v>97483.045975375004</v>
      </c>
      <c r="V55" s="323">
        <f>INDEX('Volume adjustments'!$J$481:$Y$521, V$36 + 1 + $H55*$H$59, V$37)</f>
        <v>115691.48493199963</v>
      </c>
      <c r="W55" s="323">
        <f>INDEX('Volume adjustments'!$J$481:$Y$521, W$36 + 1 + $H55*$H$59, W$37)</f>
        <v>293.4416559359554</v>
      </c>
      <c r="X55" s="323">
        <f>INDEX('Volume adjustments'!$J$481:$Y$521, X$36 + 1 + $H55*$H$59, X$37)</f>
        <v>18732.700905477155</v>
      </c>
      <c r="Y55" s="323">
        <f>INDEX('Volume adjustments'!$J$481:$Y$521, Y$36 + 1 + $H55*$H$59, Y$37)</f>
        <v>45968.514752925774</v>
      </c>
      <c r="Z55" s="323">
        <f>INDEX('Volume adjustments'!$J$481:$Y$521, Z$36 + 1 + $H55*$H$59, Z$37)</f>
        <v>47070.623359506841</v>
      </c>
      <c r="AA55" s="323">
        <f>INDEX('Volume adjustments'!$J$481:$Y$521, AA$36 + 1 + $H55*$H$59, AA$37)</f>
        <v>194340.03818956178</v>
      </c>
      <c r="AB55" s="323">
        <f>INDEX('Volume adjustments'!$J$481:$Y$521, AB$36 + 1 + $H55*$H$59, AB$37)</f>
        <v>3102.6282668709232</v>
      </c>
      <c r="AC55" s="323">
        <f>INDEX('Volume adjustments'!$J$481:$Y$521, AC$36 + 1 + $H55*$H$59, AC$37)</f>
        <v>94016.820021513209</v>
      </c>
      <c r="AD55" s="323">
        <f>INDEX('Volume adjustments'!$J$481:$Y$521, AD$36 + 1 + $H55*$H$59, AD$37)</f>
        <v>289258.0126876306</v>
      </c>
      <c r="AE55" s="323">
        <f>INDEX('Volume adjustments'!$J$481:$Y$521, AE$36 + 1 + $H55*$H$59, AE$37)</f>
        <v>197624.34008137771</v>
      </c>
      <c r="AF55" s="323">
        <f>INDEX('Volume adjustments'!$J$481:$Y$521, AF$36 + 1 + $H55*$H$59, AF$37)</f>
        <v>527282.62655353185</v>
      </c>
      <c r="AG55" s="323">
        <f>INDEX('Volume adjustments'!$J$481:$Y$521, AG$36 + 1 + $H55*$H$59, AG$37)</f>
        <v>69645.577244407395</v>
      </c>
      <c r="AH55" s="323">
        <f>INDEX('Volume adjustments'!$J$481:$Y$521, AH$36 + 1 + $H55*$H$59, AH$37)</f>
        <v>2254.3906596998399</v>
      </c>
      <c r="AI55" s="323">
        <f>INDEX('Volume adjustments'!$J$481:$Y$521, AI$36 + 1 + $H55*$H$59, AI$37)</f>
        <v>0</v>
      </c>
      <c r="AJ55" s="323">
        <f>INDEX('Volume adjustments'!$J$481:$Y$521, AJ$36 + 1 + $H55*$H$59, AJ$37)</f>
        <v>27528.063337650925</v>
      </c>
      <c r="AK55" s="323">
        <f>INDEX('Volume adjustments'!$J$481:$Y$521, AK$36 + 1 + $H55*$H$59, AK$37)</f>
        <v>0</v>
      </c>
      <c r="AL55" s="323">
        <f>INDEX('Volume adjustments'!$J$481:$Y$521, AL$36 + 1 + $H55*$H$59, AL$37)</f>
        <v>6962.9505694314412</v>
      </c>
      <c r="AM55" s="323">
        <f>INDEX('Volume adjustments'!$J$481:$Y$521, AM$36 + 1 + $H55*$H$59, AM$37)</f>
        <v>0</v>
      </c>
      <c r="AN55" s="323">
        <f>INDEX('Volume adjustments'!$J$481:$Y$521, AN$36 + 1 + $H55*$H$59, AN$37)</f>
        <v>234787.57468174878</v>
      </c>
      <c r="AO55" s="323">
        <f>INDEX('Volume adjustments'!$J$481:$Y$521, AO$36 + 1 + $H55*$H$59, AO$37)</f>
        <v>0</v>
      </c>
    </row>
    <row r="56" spans="4:41" x14ac:dyDescent="0.25">
      <c r="D56" s="78"/>
      <c r="F56" t="s">
        <v>213</v>
      </c>
      <c r="G56" t="s">
        <v>213</v>
      </c>
      <c r="H56" s="355">
        <v>3</v>
      </c>
      <c r="J56" s="323">
        <f>INDEX('Volume adjustments'!$J$481:$Y$521, J$36 + 1 + $H56*$H$59, J$37)</f>
        <v>1535048.510066451</v>
      </c>
      <c r="K56" s="323">
        <f>INDEX('Volume adjustments'!$J$481:$Y$521, K$36 + 1 + $H56*$H$59, K$37)</f>
        <v>0</v>
      </c>
      <c r="L56" s="323">
        <f>INDEX('Volume adjustments'!$J$481:$Y$521, L$36 + 1 + $H56*$H$59, L$37)</f>
        <v>57.046666973825495</v>
      </c>
      <c r="M56" s="323">
        <f>INDEX('Volume adjustments'!$J$481:$Y$521, M$36 + 1 + $H56*$H$59, M$37)</f>
        <v>65554.202849239358</v>
      </c>
      <c r="N56" s="323">
        <f>INDEX('Volume adjustments'!$J$481:$Y$521, N$36 + 1 + $H56*$H$59, N$37)</f>
        <v>44434.768353792591</v>
      </c>
      <c r="O56" s="323">
        <f>INDEX('Volume adjustments'!$J$481:$Y$521, O$36 + 1 + $H56*$H$59, O$37)</f>
        <v>18243.781096903222</v>
      </c>
      <c r="P56" s="323">
        <f>INDEX('Volume adjustments'!$J$481:$Y$521, P$36 + 1 + $H56*$H$59, P$37)</f>
        <v>18570.349705614339</v>
      </c>
      <c r="Q56" s="323">
        <f>INDEX('Volume adjustments'!$J$481:$Y$521, Q$36 + 1 + $H56*$H$59, Q$37)</f>
        <v>0</v>
      </c>
      <c r="R56" s="323">
        <f>INDEX('Volume adjustments'!$J$481:$Y$521, R$36 + 1 + $H56*$H$59, R$37)</f>
        <v>59.338384301213082</v>
      </c>
      <c r="S56" s="323">
        <f>INDEX('Volume adjustments'!$J$481:$Y$521, S$36 + 1 + $H56*$H$59, S$37)</f>
        <v>4025.3263737509701</v>
      </c>
      <c r="T56" s="323">
        <f>INDEX('Volume adjustments'!$J$481:$Y$521, T$36 + 1 + $H56*$H$59, T$37)</f>
        <v>2584.2369665669521</v>
      </c>
      <c r="U56" s="323">
        <f>INDEX('Volume adjustments'!$J$481:$Y$521, U$36 + 1 + $H56*$H$59, U$37)</f>
        <v>860.15947403315749</v>
      </c>
      <c r="V56" s="323">
        <f>INDEX('Volume adjustments'!$J$481:$Y$521, V$36 + 1 + $H56*$H$59, V$37)</f>
        <v>562.70551517850458</v>
      </c>
      <c r="W56" s="323">
        <f>INDEX('Volume adjustments'!$J$481:$Y$521, W$36 + 1 + $H56*$H$59, W$37)</f>
        <v>8.0346264376467342</v>
      </c>
      <c r="X56" s="323">
        <f>INDEX('Volume adjustments'!$J$481:$Y$521, X$36 + 1 + $H56*$H$59, X$37)</f>
        <v>344.10867093316392</v>
      </c>
      <c r="Y56" s="323">
        <f>INDEX('Volume adjustments'!$J$481:$Y$521, Y$36 + 1 + $H56*$H$59, Y$37)</f>
        <v>467.03276502301753</v>
      </c>
      <c r="Z56" s="323">
        <f>INDEX('Volume adjustments'!$J$481:$Y$521, Z$36 + 1 + $H56*$H$59, Z$37)</f>
        <v>314.04078868536357</v>
      </c>
      <c r="AA56" s="323">
        <f>INDEX('Volume adjustments'!$J$481:$Y$521, AA$36 + 1 + $H56*$H$59, AA$37)</f>
        <v>601.38458398900048</v>
      </c>
      <c r="AB56" s="323">
        <f>INDEX('Volume adjustments'!$J$481:$Y$521, AB$36 + 1 + $H56*$H$59, AB$37)</f>
        <v>144.04883870416532</v>
      </c>
      <c r="AC56" s="323">
        <f>INDEX('Volume adjustments'!$J$481:$Y$521, AC$36 + 1 + $H56*$H$59, AC$37)</f>
        <v>324.56593594261994</v>
      </c>
      <c r="AD56" s="323">
        <f>INDEX('Volume adjustments'!$J$481:$Y$521, AD$36 + 1 + $H56*$H$59, AD$37)</f>
        <v>403.44248334211352</v>
      </c>
      <c r="AE56" s="323">
        <f>INDEX('Volume adjustments'!$J$481:$Y$521, AE$36 + 1 + $H56*$H$59, AE$37)</f>
        <v>124.32468778135895</v>
      </c>
      <c r="AF56" s="323">
        <f>INDEX('Volume adjustments'!$J$481:$Y$521, AF$36 + 1 + $H56*$H$59, AF$37)</f>
        <v>131.1966818180816</v>
      </c>
      <c r="AG56" s="323">
        <f>INDEX('Volume adjustments'!$J$481:$Y$521, AG$36 + 1 + $H56*$H$59, AG$37)</f>
        <v>2539</v>
      </c>
      <c r="AH56" s="323">
        <f>INDEX('Volume adjustments'!$J$481:$Y$521, AH$36 + 1 + $H56*$H$59, AH$37)</f>
        <v>0</v>
      </c>
      <c r="AI56" s="323">
        <f>INDEX('Volume adjustments'!$J$481:$Y$521, AI$36 + 1 + $H56*$H$59, AI$37)</f>
        <v>0</v>
      </c>
      <c r="AJ56" s="323">
        <f>INDEX('Volume adjustments'!$J$481:$Y$521, AJ$36 + 1 + $H56*$H$59, AJ$37)</f>
        <v>0</v>
      </c>
      <c r="AK56" s="323">
        <f>INDEX('Volume adjustments'!$J$481:$Y$521, AK$36 + 1 + $H56*$H$59, AK$37)</f>
        <v>0</v>
      </c>
      <c r="AL56" s="323">
        <f>INDEX('Volume adjustments'!$J$481:$Y$521, AL$36 + 1 + $H56*$H$59, AL$37)</f>
        <v>0</v>
      </c>
      <c r="AM56" s="323">
        <f>INDEX('Volume adjustments'!$J$481:$Y$521, AM$36 + 1 + $H56*$H$59, AM$37)</f>
        <v>0</v>
      </c>
      <c r="AN56" s="323">
        <f>INDEX('Volume adjustments'!$J$481:$Y$521, AN$36 + 1 + $H56*$H$59, AN$37)</f>
        <v>272.95468099853321</v>
      </c>
      <c r="AO56" s="323">
        <f>INDEX('Volume adjustments'!$J$481:$Y$521, AO$36 + 1 + $H56*$H$59, AO$37)</f>
        <v>0</v>
      </c>
    </row>
    <row r="57" spans="4:41" x14ac:dyDescent="0.25">
      <c r="D57" s="78"/>
      <c r="F57" t="s">
        <v>735</v>
      </c>
      <c r="G57" t="s">
        <v>252</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2001.0160798988677</v>
      </c>
      <c r="S57" s="323">
        <f>INDEX('Volume adjustments'!$J$481:$Y$521, S$36 + 1 + $H57*$H$59, S$37)</f>
        <v>189615.2392912439</v>
      </c>
      <c r="T57" s="323">
        <f>INDEX('Volume adjustments'!$J$481:$Y$521, T$36 + 1 + $H57*$H$59, T$37)</f>
        <v>299367.06592851254</v>
      </c>
      <c r="U57" s="323">
        <f>INDEX('Volume adjustments'!$J$481:$Y$521, U$36 + 1 + $H57*$H$59, U$37)</f>
        <v>161239.78623492466</v>
      </c>
      <c r="V57" s="323">
        <f>INDEX('Volume adjustments'!$J$481:$Y$521, V$36 + 1 + $H57*$H$59, V$37)</f>
        <v>195617.67908765882</v>
      </c>
      <c r="W57" s="323">
        <f>INDEX('Volume adjustments'!$J$481:$Y$521, W$36 + 1 + $H57*$H$59, W$37)</f>
        <v>708.6544455600615</v>
      </c>
      <c r="X57" s="323">
        <f>INDEX('Volume adjustments'!$J$481:$Y$521, X$36 + 1 + $H57*$H$59, X$37)</f>
        <v>19727.153727609912</v>
      </c>
      <c r="Y57" s="323">
        <f>INDEX('Volume adjustments'!$J$481:$Y$521, Y$36 + 1 + $H57*$H$59, Y$37)</f>
        <v>56293.787378130051</v>
      </c>
      <c r="Z57" s="323">
        <f>INDEX('Volume adjustments'!$J$481:$Y$521, Z$36 + 1 + $H57*$H$59, Z$37)</f>
        <v>59936.708512947487</v>
      </c>
      <c r="AA57" s="323">
        <f>INDEX('Volume adjustments'!$J$481:$Y$521, AA$36 + 1 + $H57*$H$59, AA$37)</f>
        <v>240302.63531075654</v>
      </c>
      <c r="AB57" s="323">
        <f>INDEX('Volume adjustments'!$J$481:$Y$521, AB$36 + 1 + $H57*$H$59, AB$37)</f>
        <v>20696.442651176971</v>
      </c>
      <c r="AC57" s="323">
        <f>INDEX('Volume adjustments'!$J$481:$Y$521, AC$36 + 1 + $H57*$H$59, AC$37)</f>
        <v>81352.508270796854</v>
      </c>
      <c r="AD57" s="323">
        <f>INDEX('Volume adjustments'!$J$481:$Y$521, AD$36 + 1 + $H57*$H$59, AD$37)</f>
        <v>274503.83189206367</v>
      </c>
      <c r="AE57" s="323">
        <f>INDEX('Volume adjustments'!$J$481:$Y$521, AE$36 + 1 + $H57*$H$59, AE$37)</f>
        <v>168230.85961565486</v>
      </c>
      <c r="AF57" s="323">
        <f>INDEX('Volume adjustments'!$J$481:$Y$521, AF$36 + 1 + $H57*$H$59, AF$37)</f>
        <v>425484.27704363974</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25">
      <c r="D58" s="78"/>
      <c r="F58" t="s">
        <v>253</v>
      </c>
      <c r="G58" t="s">
        <v>252</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319.69556121986091</v>
      </c>
      <c r="S58" s="323">
        <f>INDEX('Volume adjustments'!$J$481:$Y$521, S$36 + 1 + $H58*$H$59, S$37)</f>
        <v>17303.808705338859</v>
      </c>
      <c r="T58" s="323">
        <f>INDEX('Volume adjustments'!$J$481:$Y$521, T$36 + 1 + $H58*$H$59, T$37)</f>
        <v>2281.4427139516292</v>
      </c>
      <c r="U58" s="323">
        <f>INDEX('Volume adjustments'!$J$481:$Y$521, U$36 + 1 + $H58*$H$59, U$37)</f>
        <v>547.09753214567263</v>
      </c>
      <c r="V58" s="323">
        <f>INDEX('Volume adjustments'!$J$481:$Y$521, V$36 + 1 + $H58*$H$59, V$37)</f>
        <v>109.31547767164641</v>
      </c>
      <c r="W58" s="323">
        <f>INDEX('Volume adjustments'!$J$481:$Y$521, W$36 + 1 + $H58*$H$59, W$37)</f>
        <v>29.468858762938101</v>
      </c>
      <c r="X58" s="323">
        <f>INDEX('Volume adjustments'!$J$481:$Y$521, X$36 + 1 + $H58*$H$59, X$37)</f>
        <v>1667.9217436686849</v>
      </c>
      <c r="Y58" s="323">
        <f>INDEX('Volume adjustments'!$J$481:$Y$521, Y$36 + 1 + $H58*$H$59, Y$37)</f>
        <v>653.79682996340705</v>
      </c>
      <c r="Z58" s="323">
        <f>INDEX('Volume adjustments'!$J$481:$Y$521, Z$36 + 1 + $H58*$H$59, Z$37)</f>
        <v>357.66623596231426</v>
      </c>
      <c r="AA58" s="323">
        <f>INDEX('Volume adjustments'!$J$481:$Y$521, AA$36 + 1 + $H58*$H$59, AA$37)</f>
        <v>2401.1874249123075</v>
      </c>
      <c r="AB58" s="323">
        <f>INDEX('Volume adjustments'!$J$481:$Y$521, AB$36 + 1 + $H58*$H$59, AB$37)</f>
        <v>851.6203571790702</v>
      </c>
      <c r="AC58" s="323">
        <f>INDEX('Volume adjustments'!$J$481:$Y$521, AC$36 + 1 + $H58*$H$59, AC$37)</f>
        <v>2169.057862955141</v>
      </c>
      <c r="AD58" s="323">
        <f>INDEX('Volume adjustments'!$J$481:$Y$521, AD$36 + 1 + $H58*$H$59, AD$37)</f>
        <v>1457.0461477210777</v>
      </c>
      <c r="AE58" s="323">
        <f>INDEX('Volume adjustments'!$J$481:$Y$521, AE$36 + 1 + $H58*$H$59, AE$37)</f>
        <v>621.98643401730124</v>
      </c>
      <c r="AF58" s="323">
        <f>INDEX('Volume adjustments'!$J$481:$Y$521, AF$36 + 1 + $H58*$H$59, AF$37)</f>
        <v>116.79122459681906</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25">
      <c r="D59" s="78"/>
      <c r="F59" s="28" t="s">
        <v>216</v>
      </c>
      <c r="G59" s="57" t="s">
        <v>255</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485.368605572511</v>
      </c>
      <c r="S59" s="185">
        <f>INDEX('Volume adjustments'!$J$481:$Y$521, S$36 + 1 + $H59*$H$59, S$37)</f>
        <v>30358.950582424444</v>
      </c>
      <c r="T59" s="185">
        <f>INDEX('Volume adjustments'!$J$481:$Y$521, T$36 + 1 + $H59*$H$59, T$37)</f>
        <v>32447.94085793124</v>
      </c>
      <c r="U59" s="185">
        <f>INDEX('Volume adjustments'!$J$481:$Y$521, U$36 + 1 + $H59*$H$59, U$37)</f>
        <v>17886.366283347139</v>
      </c>
      <c r="V59" s="185">
        <f>INDEX('Volume adjustments'!$J$481:$Y$521, V$36 + 1 + $H59*$H$59, V$37)</f>
        <v>22777.743285078395</v>
      </c>
      <c r="W59" s="185">
        <f>INDEX('Volume adjustments'!$J$481:$Y$521, W$36 + 1 + $H59*$H$59, W$37)</f>
        <v>244.49102695504459</v>
      </c>
      <c r="X59" s="185">
        <f>INDEX('Volume adjustments'!$J$481:$Y$521, X$36 + 1 + $H59*$H$59, X$37)</f>
        <v>5400.3002571836423</v>
      </c>
      <c r="Y59" s="185">
        <f>INDEX('Volume adjustments'!$J$481:$Y$521, Y$36 + 1 + $H59*$H$59, Y$37)</f>
        <v>9695.5781829896223</v>
      </c>
      <c r="Z59" s="185">
        <f>INDEX('Volume adjustments'!$J$481:$Y$521, Z$36 + 1 + $H59*$H$59, Z$37)</f>
        <v>9635.594456615172</v>
      </c>
      <c r="AA59" s="185">
        <f>INDEX('Volume adjustments'!$J$481:$Y$521, AA$36 + 1 + $H59*$H$59, AA$37)</f>
        <v>39108.726928132797</v>
      </c>
      <c r="AB59" s="185">
        <f>INDEX('Volume adjustments'!$J$481:$Y$521, AB$36 + 1 + $H59*$H$59, AB$37)</f>
        <v>4120.6902967102687</v>
      </c>
      <c r="AC59" s="185">
        <f>INDEX('Volume adjustments'!$J$481:$Y$521, AC$36 + 1 + $H59*$H$59, AC$37)</f>
        <v>17082.861941525363</v>
      </c>
      <c r="AD59" s="185">
        <f>INDEX('Volume adjustments'!$J$481:$Y$521, AD$36 + 1 + $H59*$H$59, AD$37)</f>
        <v>36397.417464192331</v>
      </c>
      <c r="AE59" s="185">
        <f>INDEX('Volume adjustments'!$J$481:$Y$521, AE$36 + 1 + $H59*$H$59, AE$37)</f>
        <v>32077.399798033177</v>
      </c>
      <c r="AF59" s="185">
        <f>INDEX('Volume adjustments'!$J$481:$Y$521, AF$36 + 1 + $H59*$H$59, AF$37)</f>
        <v>66282.940263135126</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5024.8064126525887</v>
      </c>
      <c r="AK59" s="185">
        <f>INDEX('Volume adjustments'!$J$481:$Y$521, AK$36 + 1 + $H59*$H$59, AK$37)</f>
        <v>0</v>
      </c>
      <c r="AL59" s="185">
        <f>INDEX('Volume adjustments'!$J$481:$Y$521, AL$36 + 1 + $H59*$H$59, AL$37)</f>
        <v>1539.6130000000001</v>
      </c>
      <c r="AM59" s="185">
        <f>INDEX('Volume adjustments'!$J$481:$Y$521, AM$36 + 1 + $H59*$H$59, AM$37)</f>
        <v>0</v>
      </c>
      <c r="AN59" s="185">
        <f>INDEX('Volume adjustments'!$J$481:$Y$521, AN$36 + 1 + $H59*$H$59, AN$37)</f>
        <v>7641.41</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278</v>
      </c>
      <c r="H61" s="110">
        <f>'General inputs'!$H$88</f>
        <v>493596897.04489803</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278</v>
      </c>
      <c r="H64" s="114">
        <f>'General inputs'!H53</f>
        <v>1118528.0814864344</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25">
      <c r="D65" s="410"/>
      <c r="E65" s="411"/>
      <c r="F65" t="s">
        <v>872</v>
      </c>
      <c r="G65" s="408" t="s">
        <v>278</v>
      </c>
      <c r="H65" s="414">
        <f>'General inputs'!H54</f>
        <v>4542999.59907851</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25">
      <c r="A66" s="408"/>
      <c r="C66" s="78"/>
      <c r="F66" s="28" t="s">
        <v>1151</v>
      </c>
      <c r="G66" s="28" t="s">
        <v>278</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25">
      <c r="C68" s="410"/>
      <c r="D68" s="411"/>
      <c r="E68" s="408" t="s">
        <v>886</v>
      </c>
      <c r="F68"/>
      <c r="G68" s="408" t="s">
        <v>278</v>
      </c>
      <c r="H68" s="422">
        <f>H61 - H64  - H65 - H66</f>
        <v>487935369.36433303</v>
      </c>
      <c r="I68" s="408" t="s">
        <v>155</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1158</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157</v>
      </c>
      <c r="G76" s="19" t="s">
        <v>278</v>
      </c>
      <c r="H76" s="148">
        <f t="shared" ref="H76:H83" si="8">SUM(J76:AO76)</f>
        <v>103572851.84928401</v>
      </c>
      <c r="I76" s="119"/>
      <c r="J76" s="308">
        <f t="shared" ref="J76:AO76" si="9">J53 * thousand * J40 / hundred</f>
        <v>64929368.645813905</v>
      </c>
      <c r="K76" s="308">
        <f t="shared" si="9"/>
        <v>5407.1817038549752</v>
      </c>
      <c r="L76" s="308">
        <f t="shared" si="9"/>
        <v>318.89851517475387</v>
      </c>
      <c r="M76" s="308">
        <f t="shared" si="9"/>
        <v>851061.77720074216</v>
      </c>
      <c r="N76" s="308">
        <f t="shared" si="9"/>
        <v>3404260.1910615675</v>
      </c>
      <c r="O76" s="308">
        <f t="shared" si="9"/>
        <v>3352949.5475641079</v>
      </c>
      <c r="P76" s="308">
        <f t="shared" si="9"/>
        <v>11131063.771476902</v>
      </c>
      <c r="Q76" s="308">
        <f t="shared" si="9"/>
        <v>4285.2477074830094</v>
      </c>
      <c r="R76" s="308">
        <f t="shared" si="9"/>
        <v>12654.15237041611</v>
      </c>
      <c r="S76" s="308">
        <f t="shared" si="9"/>
        <v>2909963.1009966545</v>
      </c>
      <c r="T76" s="308">
        <f t="shared" si="9"/>
        <v>3341496.4356286144</v>
      </c>
      <c r="U76" s="308">
        <f t="shared" si="9"/>
        <v>1668734.7737210812</v>
      </c>
      <c r="V76" s="308">
        <f t="shared" si="9"/>
        <v>1980430.5661337702</v>
      </c>
      <c r="W76" s="308">
        <f t="shared" si="9"/>
        <v>3245.8904662906566</v>
      </c>
      <c r="X76" s="308">
        <f t="shared" si="9"/>
        <v>207210.85110776967</v>
      </c>
      <c r="Y76" s="308">
        <f t="shared" si="9"/>
        <v>508478.46843744791</v>
      </c>
      <c r="Z76" s="308">
        <f t="shared" si="9"/>
        <v>520669.38866487169</v>
      </c>
      <c r="AA76" s="308">
        <f t="shared" si="9"/>
        <v>2149682.788444106</v>
      </c>
      <c r="AB76" s="308">
        <f t="shared" si="9"/>
        <v>22172.109065367786</v>
      </c>
      <c r="AC76" s="308">
        <f t="shared" si="9"/>
        <v>671866.23990838765</v>
      </c>
      <c r="AD76" s="308">
        <f t="shared" si="9"/>
        <v>2067105.5807178013</v>
      </c>
      <c r="AE76" s="308">
        <f t="shared" si="9"/>
        <v>1412269.8710131787</v>
      </c>
      <c r="AF76" s="308">
        <f t="shared" si="9"/>
        <v>3768085.2808090774</v>
      </c>
      <c r="AG76" s="308">
        <f t="shared" si="9"/>
        <v>1266277.1198112541</v>
      </c>
      <c r="AH76" s="308">
        <f t="shared" si="9"/>
        <v>-47611.098803146153</v>
      </c>
      <c r="AI76" s="308">
        <f t="shared" si="9"/>
        <v>0</v>
      </c>
      <c r="AJ76" s="308">
        <f t="shared" si="9"/>
        <v>-343317.43122912594</v>
      </c>
      <c r="AK76" s="308">
        <f t="shared" si="9"/>
        <v>0</v>
      </c>
      <c r="AL76" s="308">
        <f t="shared" si="9"/>
        <v>-75665.347936180493</v>
      </c>
      <c r="AM76" s="308">
        <f t="shared" si="9"/>
        <v>0</v>
      </c>
      <c r="AN76" s="308">
        <f t="shared" si="9"/>
        <v>-2149612.1510873409</v>
      </c>
      <c r="AO76" s="308">
        <f t="shared" si="9"/>
        <v>0</v>
      </c>
    </row>
    <row r="77" spans="1:43" x14ac:dyDescent="0.25">
      <c r="D77" s="78"/>
      <c r="F77" t="s">
        <v>158</v>
      </c>
      <c r="G77" t="s">
        <v>278</v>
      </c>
      <c r="H77" s="79">
        <f t="shared" si="8"/>
        <v>29931749.438317221</v>
      </c>
      <c r="I77" s="53"/>
      <c r="J77" s="205">
        <f t="shared" ref="J77" si="10">J54 * thousand * J41 / hundred</f>
        <v>16979558.272831168</v>
      </c>
      <c r="K77" s="205">
        <f t="shared" ref="K77:AO77" si="11">K54 * thousand * K41 / hundred</f>
        <v>24579.69573953289</v>
      </c>
      <c r="L77" s="205">
        <f t="shared" si="11"/>
        <v>127.23028472427445</v>
      </c>
      <c r="M77" s="205">
        <f t="shared" si="11"/>
        <v>339546.36688057467</v>
      </c>
      <c r="N77" s="205">
        <f t="shared" si="11"/>
        <v>1358190.686924105</v>
      </c>
      <c r="O77" s="205">
        <f t="shared" si="11"/>
        <v>1337719.3850179478</v>
      </c>
      <c r="P77" s="205">
        <f t="shared" si="11"/>
        <v>4440937.6197722079</v>
      </c>
      <c r="Q77" s="205">
        <f t="shared" si="11"/>
        <v>12511.019087171622</v>
      </c>
      <c r="R77" s="205">
        <f t="shared" si="11"/>
        <v>4139.5151653553303</v>
      </c>
      <c r="S77" s="205">
        <f t="shared" si="11"/>
        <v>951927.55979150301</v>
      </c>
      <c r="T77" s="205">
        <f t="shared" si="11"/>
        <v>1093093.7739143551</v>
      </c>
      <c r="U77" s="205">
        <f t="shared" si="11"/>
        <v>545888.23498946521</v>
      </c>
      <c r="V77" s="205">
        <f t="shared" si="11"/>
        <v>647852.3509492405</v>
      </c>
      <c r="W77" s="205">
        <f t="shared" si="11"/>
        <v>846.67295623549614</v>
      </c>
      <c r="X77" s="205">
        <f t="shared" si="11"/>
        <v>54049.828758386291</v>
      </c>
      <c r="Y77" s="205">
        <f t="shared" si="11"/>
        <v>132633.85580167652</v>
      </c>
      <c r="Z77" s="205">
        <f t="shared" si="11"/>
        <v>135813.79134644533</v>
      </c>
      <c r="AA77" s="205">
        <f t="shared" si="11"/>
        <v>560733.11788012611</v>
      </c>
      <c r="AB77" s="205">
        <f t="shared" si="11"/>
        <v>4159.7582835958319</v>
      </c>
      <c r="AC77" s="205">
        <f t="shared" si="11"/>
        <v>126050.30710825349</v>
      </c>
      <c r="AD77" s="205">
        <f t="shared" si="11"/>
        <v>387814.23711688817</v>
      </c>
      <c r="AE77" s="205">
        <f t="shared" si="11"/>
        <v>264959.06534196186</v>
      </c>
      <c r="AF77" s="205">
        <f t="shared" si="11"/>
        <v>706938.79025806964</v>
      </c>
      <c r="AG77" s="205">
        <f t="shared" si="11"/>
        <v>595737.95455053134</v>
      </c>
      <c r="AH77" s="205">
        <f t="shared" si="11"/>
        <v>-23711.352935517851</v>
      </c>
      <c r="AI77" s="205">
        <f t="shared" si="11"/>
        <v>0</v>
      </c>
      <c r="AJ77" s="205">
        <f t="shared" si="11"/>
        <v>-165384.67603931468</v>
      </c>
      <c r="AK77" s="205">
        <f t="shared" si="11"/>
        <v>0</v>
      </c>
      <c r="AL77" s="205">
        <f t="shared" si="11"/>
        <v>-31648.810899949167</v>
      </c>
      <c r="AM77" s="205">
        <f t="shared" si="11"/>
        <v>0</v>
      </c>
      <c r="AN77" s="205">
        <f t="shared" si="11"/>
        <v>-553314.81255750393</v>
      </c>
      <c r="AO77" s="205">
        <f t="shared" si="11"/>
        <v>0</v>
      </c>
    </row>
    <row r="78" spans="1:43" x14ac:dyDescent="0.25">
      <c r="D78" s="78"/>
      <c r="F78" t="s">
        <v>159</v>
      </c>
      <c r="G78" t="s">
        <v>278</v>
      </c>
      <c r="H78" s="79">
        <f t="shared" si="8"/>
        <v>2944163.0114868423</v>
      </c>
      <c r="I78" s="53"/>
      <c r="J78" s="205">
        <f t="shared" ref="J78" si="12">J55 * thousand * J42 / hundred</f>
        <v>1343888.2833659307</v>
      </c>
      <c r="K78" s="205">
        <f t="shared" ref="K78:AO78" si="13">K55 * thousand * K42 / hundred</f>
        <v>13911.728681028746</v>
      </c>
      <c r="L78" s="205">
        <f t="shared" si="13"/>
        <v>7.6664152106517465</v>
      </c>
      <c r="M78" s="205">
        <f t="shared" si="13"/>
        <v>20459.778404300985</v>
      </c>
      <c r="N78" s="205">
        <f t="shared" si="13"/>
        <v>81839.428118593976</v>
      </c>
      <c r="O78" s="205">
        <f t="shared" si="13"/>
        <v>80605.90497860164</v>
      </c>
      <c r="P78" s="205">
        <f t="shared" si="13"/>
        <v>267594.08572856494</v>
      </c>
      <c r="Q78" s="205">
        <f t="shared" si="13"/>
        <v>6196.397784802929</v>
      </c>
      <c r="R78" s="205">
        <f t="shared" si="13"/>
        <v>248.0751123826775</v>
      </c>
      <c r="S78" s="205">
        <f t="shared" si="13"/>
        <v>57047.631653059638</v>
      </c>
      <c r="T78" s="205">
        <f t="shared" si="13"/>
        <v>65507.517179329385</v>
      </c>
      <c r="U78" s="205">
        <f t="shared" si="13"/>
        <v>32714.286536927983</v>
      </c>
      <c r="V78" s="205">
        <f t="shared" si="13"/>
        <v>38824.847439668469</v>
      </c>
      <c r="W78" s="205">
        <f t="shared" si="13"/>
        <v>47.158754530563229</v>
      </c>
      <c r="X78" s="205">
        <f t="shared" si="13"/>
        <v>3010.5161480163679</v>
      </c>
      <c r="Y78" s="205">
        <f t="shared" si="13"/>
        <v>7387.5602168798241</v>
      </c>
      <c r="Z78" s="205">
        <f t="shared" si="13"/>
        <v>7564.6791370890278</v>
      </c>
      <c r="AA78" s="205">
        <f t="shared" si="13"/>
        <v>31232.219322133609</v>
      </c>
      <c r="AB78" s="205">
        <f t="shared" si="13"/>
        <v>192.46248568661611</v>
      </c>
      <c r="AC78" s="205">
        <f t="shared" si="13"/>
        <v>5832.0589259442941</v>
      </c>
      <c r="AD78" s="205">
        <f t="shared" si="13"/>
        <v>17943.276260671086</v>
      </c>
      <c r="AE78" s="205">
        <f t="shared" si="13"/>
        <v>12259.048926476329</v>
      </c>
      <c r="AF78" s="205">
        <f t="shared" si="13"/>
        <v>32708.438213324105</v>
      </c>
      <c r="AG78" s="205">
        <f t="shared" si="13"/>
        <v>853276.8957749632</v>
      </c>
      <c r="AH78" s="205">
        <f t="shared" si="13"/>
        <v>-828.84700751877358</v>
      </c>
      <c r="AI78" s="205">
        <f t="shared" si="13"/>
        <v>0</v>
      </c>
      <c r="AJ78" s="205">
        <f t="shared" si="13"/>
        <v>-10120.940140533201</v>
      </c>
      <c r="AK78" s="205">
        <f t="shared" si="13"/>
        <v>0</v>
      </c>
      <c r="AL78" s="205">
        <f t="shared" si="13"/>
        <v>-2105.7894839503629</v>
      </c>
      <c r="AM78" s="205">
        <f t="shared" si="13"/>
        <v>0</v>
      </c>
      <c r="AN78" s="205">
        <f t="shared" si="13"/>
        <v>-23081.357445273628</v>
      </c>
      <c r="AO78" s="205">
        <f t="shared" si="13"/>
        <v>0</v>
      </c>
    </row>
    <row r="79" spans="1:43" x14ac:dyDescent="0.25">
      <c r="D79" s="78"/>
      <c r="F79" t="s">
        <v>160</v>
      </c>
      <c r="G79" t="s">
        <v>278</v>
      </c>
      <c r="H79" s="79">
        <f t="shared" si="8"/>
        <v>43638091.666178055</v>
      </c>
      <c r="I79" s="53"/>
      <c r="J79" s="308">
        <f t="shared" ref="J79" si="14">J56 * J43 * days_in_year / hundred</f>
        <v>36111013.345514089</v>
      </c>
      <c r="K79" s="308">
        <f t="shared" ref="K79:AO79" si="15">K56 * K43 * days_in_year / hundred</f>
        <v>0</v>
      </c>
      <c r="L79" s="308">
        <f t="shared" si="15"/>
        <v>2481.9367539177938</v>
      </c>
      <c r="M79" s="308">
        <f t="shared" si="15"/>
        <v>2852075.2229041075</v>
      </c>
      <c r="N79" s="308">
        <f t="shared" si="15"/>
        <v>1933229.2415909669</v>
      </c>
      <c r="O79" s="308">
        <f t="shared" si="15"/>
        <v>793734.55517761293</v>
      </c>
      <c r="P79" s="308">
        <f t="shared" si="15"/>
        <v>807942.61807825195</v>
      </c>
      <c r="Q79" s="308">
        <f t="shared" si="15"/>
        <v>0</v>
      </c>
      <c r="R79" s="308">
        <f t="shared" si="15"/>
        <v>3590.136489103264</v>
      </c>
      <c r="S79" s="308">
        <f t="shared" si="15"/>
        <v>243543.38705271494</v>
      </c>
      <c r="T79" s="308">
        <f t="shared" si="15"/>
        <v>156353.4892198249</v>
      </c>
      <c r="U79" s="308">
        <f t="shared" si="15"/>
        <v>52042.028958836672</v>
      </c>
      <c r="V79" s="308">
        <f t="shared" si="15"/>
        <v>34045.241144536863</v>
      </c>
      <c r="W79" s="308">
        <f t="shared" si="15"/>
        <v>379.46666618683417</v>
      </c>
      <c r="X79" s="308">
        <f t="shared" si="15"/>
        <v>16251.878189776186</v>
      </c>
      <c r="Y79" s="308">
        <f t="shared" si="15"/>
        <v>22057.449430742996</v>
      </c>
      <c r="Z79" s="308">
        <f t="shared" si="15"/>
        <v>14831.804820539008</v>
      </c>
      <c r="AA79" s="308">
        <f t="shared" si="15"/>
        <v>28402.739685966211</v>
      </c>
      <c r="AB79" s="308">
        <f t="shared" si="15"/>
        <v>62806.670036239484</v>
      </c>
      <c r="AC79" s="308">
        <f t="shared" si="15"/>
        <v>141513.84924120127</v>
      </c>
      <c r="AD79" s="308">
        <f t="shared" si="15"/>
        <v>175904.77755886599</v>
      </c>
      <c r="AE79" s="308">
        <f t="shared" si="15"/>
        <v>54206.751773115939</v>
      </c>
      <c r="AF79" s="308">
        <f t="shared" si="15"/>
        <v>57203.006833816857</v>
      </c>
      <c r="AG79" s="308">
        <f t="shared" si="15"/>
        <v>0</v>
      </c>
      <c r="AH79" s="308">
        <f t="shared" si="15"/>
        <v>0</v>
      </c>
      <c r="AI79" s="308">
        <f t="shared" si="15"/>
        <v>0</v>
      </c>
      <c r="AJ79" s="308">
        <f t="shared" si="15"/>
        <v>0</v>
      </c>
      <c r="AK79" s="308">
        <f t="shared" si="15"/>
        <v>0</v>
      </c>
      <c r="AL79" s="308">
        <f t="shared" si="15"/>
        <v>0</v>
      </c>
      <c r="AM79" s="308">
        <f t="shared" si="15"/>
        <v>0</v>
      </c>
      <c r="AN79" s="308">
        <f t="shared" si="15"/>
        <v>74482.069057638029</v>
      </c>
      <c r="AO79" s="308">
        <f t="shared" si="15"/>
        <v>0</v>
      </c>
    </row>
    <row r="80" spans="1:43" x14ac:dyDescent="0.25">
      <c r="D80" s="78"/>
      <c r="F80" t="s">
        <v>735</v>
      </c>
      <c r="G80" t="s">
        <v>278</v>
      </c>
      <c r="H80" s="79">
        <f t="shared" si="8"/>
        <v>37190579.297023118</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37797.615312370246</v>
      </c>
      <c r="S80" s="375">
        <f t="shared" si="17"/>
        <v>3581682.2983529908</v>
      </c>
      <c r="T80" s="375">
        <f t="shared" si="17"/>
        <v>5654807.7293465743</v>
      </c>
      <c r="U80" s="375">
        <f t="shared" si="17"/>
        <v>3045692.3731789859</v>
      </c>
      <c r="V80" s="375">
        <f t="shared" si="17"/>
        <v>3695063.6512764622</v>
      </c>
      <c r="W80" s="375">
        <f t="shared" si="17"/>
        <v>12563.05336912402</v>
      </c>
      <c r="X80" s="375">
        <f t="shared" si="17"/>
        <v>349723.74286738626</v>
      </c>
      <c r="Y80" s="375">
        <f t="shared" si="17"/>
        <v>997978.4359112269</v>
      </c>
      <c r="Z80" s="375">
        <f t="shared" si="17"/>
        <v>1062560.2824274814</v>
      </c>
      <c r="AA80" s="375">
        <f t="shared" si="17"/>
        <v>4260094.3958860869</v>
      </c>
      <c r="AB80" s="375">
        <f t="shared" si="17"/>
        <v>309136.87248218636</v>
      </c>
      <c r="AC80" s="375">
        <f t="shared" si="17"/>
        <v>1215139.2584360458</v>
      </c>
      <c r="AD80" s="375">
        <f t="shared" si="17"/>
        <v>4100185.5973863513</v>
      </c>
      <c r="AE80" s="375">
        <f t="shared" si="17"/>
        <v>2512816.4618964498</v>
      </c>
      <c r="AF80" s="375">
        <f t="shared" si="17"/>
        <v>6355337.5288933953</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25">
      <c r="D81" s="78"/>
      <c r="F81" t="s">
        <v>253</v>
      </c>
      <c r="G81" t="s">
        <v>278</v>
      </c>
      <c r="H81" s="79">
        <f t="shared" si="8"/>
        <v>1084849.5420533749</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11824.55992702621</v>
      </c>
      <c r="S81" s="309">
        <f t="shared" si="19"/>
        <v>640014.90111826395</v>
      </c>
      <c r="T81" s="309">
        <f t="shared" si="19"/>
        <v>84383.580392114702</v>
      </c>
      <c r="U81" s="309">
        <f t="shared" si="19"/>
        <v>20235.462544741644</v>
      </c>
      <c r="V81" s="309">
        <f t="shared" si="19"/>
        <v>4043.2448037366621</v>
      </c>
      <c r="W81" s="309">
        <f t="shared" si="19"/>
        <v>943.62394609874025</v>
      </c>
      <c r="X81" s="309">
        <f t="shared" si="19"/>
        <v>53408.61382538372</v>
      </c>
      <c r="Y81" s="309">
        <f t="shared" si="19"/>
        <v>20935.264225868763</v>
      </c>
      <c r="Z81" s="309">
        <f t="shared" si="19"/>
        <v>11452.85019959804</v>
      </c>
      <c r="AA81" s="309">
        <f t="shared" si="19"/>
        <v>76888.554505818189</v>
      </c>
      <c r="AB81" s="309">
        <f t="shared" si="19"/>
        <v>26238.171649730848</v>
      </c>
      <c r="AC81" s="309">
        <f t="shared" si="19"/>
        <v>66828.032052841663</v>
      </c>
      <c r="AD81" s="309">
        <f t="shared" si="19"/>
        <v>44891.161423289057</v>
      </c>
      <c r="AE81" s="309">
        <f t="shared" si="19"/>
        <v>19163.218307284285</v>
      </c>
      <c r="AF81" s="309">
        <f t="shared" si="19"/>
        <v>3598.3031315786848</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25">
      <c r="D82" s="78"/>
      <c r="F82" s="28" t="s">
        <v>216</v>
      </c>
      <c r="G82" s="57" t="s">
        <v>278</v>
      </c>
      <c r="H82" s="72">
        <f t="shared" si="8"/>
        <v>320516.10024396959</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697.68229721309456</v>
      </c>
      <c r="S82" s="309">
        <f t="shared" si="21"/>
        <v>43638.797689316991</v>
      </c>
      <c r="T82" s="309">
        <f t="shared" si="21"/>
        <v>46641.570257502106</v>
      </c>
      <c r="U82" s="309">
        <f t="shared" si="21"/>
        <v>25710.359042775352</v>
      </c>
      <c r="V82" s="309">
        <f t="shared" si="21"/>
        <v>32741.360026198738</v>
      </c>
      <c r="W82" s="309">
        <f t="shared" si="21"/>
        <v>227.01483642805553</v>
      </c>
      <c r="X82" s="309">
        <f t="shared" si="21"/>
        <v>5014.287415023824</v>
      </c>
      <c r="Y82" s="309">
        <f t="shared" si="21"/>
        <v>9002.539368005213</v>
      </c>
      <c r="Z82" s="309">
        <f t="shared" si="21"/>
        <v>8946.8432715028885</v>
      </c>
      <c r="AA82" s="309">
        <f t="shared" si="21"/>
        <v>36313.239618941239</v>
      </c>
      <c r="AB82" s="309">
        <f t="shared" si="21"/>
        <v>2512.4462924269401</v>
      </c>
      <c r="AC82" s="309">
        <f t="shared" si="21"/>
        <v>10415.675544287193</v>
      </c>
      <c r="AD82" s="309">
        <f t="shared" si="21"/>
        <v>22192.047928190928</v>
      </c>
      <c r="AE82" s="309">
        <f t="shared" si="21"/>
        <v>19558.068767654277</v>
      </c>
      <c r="AF82" s="309">
        <f t="shared" si="21"/>
        <v>40413.696619767907</v>
      </c>
      <c r="AG82" s="309">
        <f t="shared" si="21"/>
        <v>0</v>
      </c>
      <c r="AH82" s="309">
        <f t="shared" si="21"/>
        <v>0</v>
      </c>
      <c r="AI82" s="309">
        <f t="shared" si="21"/>
        <v>0</v>
      </c>
      <c r="AJ82" s="309">
        <f t="shared" si="21"/>
        <v>7684.8682290011857</v>
      </c>
      <c r="AK82" s="309">
        <f t="shared" si="21"/>
        <v>0</v>
      </c>
      <c r="AL82" s="309">
        <f t="shared" si="21"/>
        <v>1844.7088655180567</v>
      </c>
      <c r="AM82" s="309">
        <f t="shared" si="21"/>
        <v>0</v>
      </c>
      <c r="AN82" s="309">
        <f t="shared" si="21"/>
        <v>6960.8941742156176</v>
      </c>
      <c r="AO82" s="309">
        <f t="shared" si="21"/>
        <v>0</v>
      </c>
    </row>
    <row r="83" spans="2:43" x14ac:dyDescent="0.25">
      <c r="D83"/>
      <c r="E83" s="24"/>
      <c r="F83" s="98" t="s">
        <v>101</v>
      </c>
      <c r="G83" s="142" t="s">
        <v>278</v>
      </c>
      <c r="H83" s="157">
        <f t="shared" si="8"/>
        <v>218682800.90458667</v>
      </c>
      <c r="I83" s="158"/>
      <c r="J83" s="206">
        <f t="shared" ref="J83" si="22">SUM(J76:J82)</f>
        <v>119363828.54752509</v>
      </c>
      <c r="K83" s="206">
        <f t="shared" ref="K83:AO83" si="23">SUM(K76:K82)</f>
        <v>43898.606124416612</v>
      </c>
      <c r="L83" s="206">
        <f t="shared" si="23"/>
        <v>2935.731969027474</v>
      </c>
      <c r="M83" s="206">
        <f t="shared" si="23"/>
        <v>4063143.1453897255</v>
      </c>
      <c r="N83" s="206">
        <f t="shared" si="23"/>
        <v>6777519.5476952344</v>
      </c>
      <c r="O83" s="206">
        <f t="shared" si="23"/>
        <v>5565009.3927382706</v>
      </c>
      <c r="P83" s="206">
        <f t="shared" si="23"/>
        <v>16647538.095055927</v>
      </c>
      <c r="Q83" s="206">
        <f t="shared" si="23"/>
        <v>22992.66457945756</v>
      </c>
      <c r="R83" s="206">
        <f t="shared" si="23"/>
        <v>70951.736673866923</v>
      </c>
      <c r="S83" s="206">
        <f t="shared" si="23"/>
        <v>8427817.6766545027</v>
      </c>
      <c r="T83" s="206">
        <f t="shared" si="23"/>
        <v>10442284.095938314</v>
      </c>
      <c r="U83" s="206">
        <f t="shared" si="23"/>
        <v>5391017.5189728141</v>
      </c>
      <c r="V83" s="206">
        <f t="shared" si="23"/>
        <v>6433001.2617736142</v>
      </c>
      <c r="W83" s="206">
        <f t="shared" si="23"/>
        <v>18252.880994894367</v>
      </c>
      <c r="X83" s="206">
        <f t="shared" si="23"/>
        <v>688669.7183117423</v>
      </c>
      <c r="Y83" s="206">
        <f t="shared" si="23"/>
        <v>1698473.5733918482</v>
      </c>
      <c r="Z83" s="206">
        <f t="shared" si="23"/>
        <v>1761839.6398675274</v>
      </c>
      <c r="AA83" s="206">
        <f t="shared" si="23"/>
        <v>7143347.055343179</v>
      </c>
      <c r="AB83" s="206">
        <f t="shared" si="23"/>
        <v>427218.49029523385</v>
      </c>
      <c r="AC83" s="206">
        <f t="shared" si="23"/>
        <v>2237645.421216961</v>
      </c>
      <c r="AD83" s="206">
        <f t="shared" si="23"/>
        <v>6816036.6783920582</v>
      </c>
      <c r="AE83" s="206">
        <f t="shared" si="23"/>
        <v>4295232.4860261222</v>
      </c>
      <c r="AF83" s="206">
        <f t="shared" si="23"/>
        <v>10964285.04475903</v>
      </c>
      <c r="AG83" s="206">
        <f t="shared" si="23"/>
        <v>2715291.9701367486</v>
      </c>
      <c r="AH83" s="206">
        <f t="shared" si="23"/>
        <v>-72151.298746182787</v>
      </c>
      <c r="AI83" s="206">
        <f t="shared" si="23"/>
        <v>0</v>
      </c>
      <c r="AJ83" s="206">
        <f t="shared" si="23"/>
        <v>-511138.17917997268</v>
      </c>
      <c r="AK83" s="206">
        <f t="shared" si="23"/>
        <v>0</v>
      </c>
      <c r="AL83" s="206">
        <f t="shared" si="23"/>
        <v>-107575.23945456196</v>
      </c>
      <c r="AM83" s="206">
        <f t="shared" si="23"/>
        <v>0</v>
      </c>
      <c r="AN83" s="206">
        <f t="shared" si="23"/>
        <v>-2644565.3578582648</v>
      </c>
      <c r="AO83" s="206">
        <f t="shared" si="23"/>
        <v>0</v>
      </c>
      <c r="AP83" s="200"/>
      <c r="AQ83" s="200"/>
    </row>
    <row r="84" spans="2: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25">
      <c r="D85" s="78"/>
      <c r="E85" t="s">
        <v>740</v>
      </c>
      <c r="G85" t="s">
        <v>278</v>
      </c>
      <c r="H85" s="88">
        <f>H68 - H83</f>
        <v>269252568.45974636</v>
      </c>
      <c r="I85" s="200" t="s">
        <v>155</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1146</v>
      </c>
    </row>
    <row r="86" spans="2:43" x14ac:dyDescent="0.25">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25">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25">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25">
      <c r="C91" s="24"/>
      <c r="D91" s="24" t="s">
        <v>1142</v>
      </c>
      <c r="E91"/>
      <c r="I91" t="s">
        <v>155</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2:43" x14ac:dyDescent="0.25">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25">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25">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25">
      <c r="C95" s="24"/>
      <c r="D95"/>
      <c r="E95"/>
      <c r="F95" s="19" t="s">
        <v>993</v>
      </c>
      <c r="G95" s="19" t="s">
        <v>150</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25">
      <c r="C96" s="24"/>
      <c r="D96"/>
      <c r="E96"/>
      <c r="F96" t="s">
        <v>994</v>
      </c>
      <c r="G96" t="s">
        <v>150</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25">
      <c r="C97" s="24"/>
      <c r="D97"/>
      <c r="E97"/>
      <c r="F97" t="s">
        <v>995</v>
      </c>
      <c r="G97" t="s">
        <v>150</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25">
      <c r="C98" s="24"/>
      <c r="D98"/>
      <c r="E98"/>
      <c r="F98" t="s">
        <v>996</v>
      </c>
      <c r="G98" t="s">
        <v>150</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25">
      <c r="C99" s="24"/>
      <c r="D99"/>
      <c r="E99"/>
      <c r="F99" t="s">
        <v>997</v>
      </c>
      <c r="G99" t="s">
        <v>150</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25">
      <c r="C100" s="24"/>
      <c r="D100"/>
      <c r="E100"/>
      <c r="F100" t="s">
        <v>998</v>
      </c>
      <c r="G100" t="s">
        <v>150</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25">
      <c r="C101" s="24"/>
      <c r="D101"/>
      <c r="E101"/>
      <c r="F101" t="s">
        <v>999</v>
      </c>
      <c r="G101" t="s">
        <v>150</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25">
      <c r="C102" s="24"/>
      <c r="D102"/>
      <c r="E102"/>
      <c r="F102" s="28" t="s">
        <v>1000</v>
      </c>
      <c r="G102" s="28" t="s">
        <v>150</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25">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25">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25">
      <c r="C105" s="24"/>
      <c r="D105"/>
      <c r="E105"/>
      <c r="F105" s="19" t="s">
        <v>993</v>
      </c>
      <c r="G105" s="19" t="s">
        <v>150</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25">
      <c r="C106" s="24"/>
      <c r="D106"/>
      <c r="E106"/>
      <c r="F106" t="s">
        <v>994</v>
      </c>
      <c r="G106" t="s">
        <v>150</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25">
      <c r="C107" s="24"/>
      <c r="D107"/>
      <c r="E107"/>
      <c r="F107" t="s">
        <v>995</v>
      </c>
      <c r="G107" t="s">
        <v>150</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25">
      <c r="C108" s="24"/>
      <c r="D108"/>
      <c r="E108"/>
      <c r="F108" t="s">
        <v>996</v>
      </c>
      <c r="G108" t="s">
        <v>150</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25">
      <c r="C109" s="24"/>
      <c r="D109"/>
      <c r="E109"/>
      <c r="F109" t="s">
        <v>997</v>
      </c>
      <c r="G109" t="s">
        <v>150</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25">
      <c r="C110" s="24"/>
      <c r="D110"/>
      <c r="E110"/>
      <c r="F110" t="s">
        <v>998</v>
      </c>
      <c r="G110" t="s">
        <v>150</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25">
      <c r="C111" s="24"/>
      <c r="D111"/>
      <c r="E111"/>
      <c r="F111" t="s">
        <v>999</v>
      </c>
      <c r="G111" t="s">
        <v>150</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25">
      <c r="C112" s="24"/>
      <c r="D112"/>
      <c r="E112"/>
      <c r="F112" s="28" t="s">
        <v>1000</v>
      </c>
      <c r="G112" s="28" t="s">
        <v>150</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25">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25">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25">
      <c r="C115" s="24"/>
      <c r="D115"/>
      <c r="E115"/>
      <c r="F115" s="19" t="s">
        <v>993</v>
      </c>
      <c r="G115" s="19" t="s">
        <v>213</v>
      </c>
      <c r="H115" s="19"/>
      <c r="I115" s="19"/>
      <c r="J115" s="344">
        <f t="shared" ref="J115:J122" si="50">SUMIF($J105:$AO105, J105, $J$56:$AO$56)</f>
        <v>1535048.510066451</v>
      </c>
      <c r="K115" s="343"/>
      <c r="L115" s="343"/>
      <c r="M115" s="344">
        <f t="shared" ref="M115:P122" si="51">SUMIF($J105:$AO105, M105, $J$56:$AO$56)</f>
        <v>65554.202849239358</v>
      </c>
      <c r="N115" s="344">
        <f t="shared" si="51"/>
        <v>44434.768353792591</v>
      </c>
      <c r="O115" s="344">
        <f t="shared" si="51"/>
        <v>18243.781096903222</v>
      </c>
      <c r="P115" s="344">
        <f t="shared" si="51"/>
        <v>18570.349705614339</v>
      </c>
      <c r="Q115" s="343"/>
      <c r="R115" s="343"/>
      <c r="S115" s="344">
        <f t="shared" ref="S115:V122" si="52">SUMIF($J105:$AO105, S105, $J$56:$AO$56)</f>
        <v>4369.4350446841345</v>
      </c>
      <c r="T115" s="344">
        <f t="shared" si="52"/>
        <v>3051.2697315899695</v>
      </c>
      <c r="U115" s="344">
        <f t="shared" si="52"/>
        <v>1174.2002627185211</v>
      </c>
      <c r="V115" s="344">
        <f t="shared" si="52"/>
        <v>1164.0900991675051</v>
      </c>
      <c r="W115" s="343"/>
      <c r="X115" s="344">
        <f t="shared" ref="X115:AA122" si="53">SUMIF($J105:$AO105, X105, $J$56:$AO$56)</f>
        <v>4369.4350446841345</v>
      </c>
      <c r="Y115" s="344">
        <f t="shared" si="53"/>
        <v>3051.2697315899695</v>
      </c>
      <c r="Z115" s="344">
        <f t="shared" si="53"/>
        <v>1174.2002627185211</v>
      </c>
      <c r="AA115" s="344">
        <f t="shared" si="53"/>
        <v>1164.0900991675051</v>
      </c>
      <c r="AB115" s="343"/>
      <c r="AC115" s="344">
        <f t="shared" ref="AC115:AG122" si="54">SUMIF($J105:$AO105, AC105, $J$56:$AO$56)</f>
        <v>324.56593594261994</v>
      </c>
      <c r="AD115" s="344">
        <f t="shared" si="54"/>
        <v>403.44248334211352</v>
      </c>
      <c r="AE115" s="344">
        <f t="shared" si="54"/>
        <v>124.32468778135895</v>
      </c>
      <c r="AF115" s="344">
        <f t="shared" si="54"/>
        <v>131.1966818180816</v>
      </c>
      <c r="AG115" s="344">
        <f t="shared" si="54"/>
        <v>2539</v>
      </c>
      <c r="AH115" s="343"/>
      <c r="AI115" s="343"/>
      <c r="AJ115" s="343"/>
      <c r="AK115" s="343"/>
      <c r="AL115" s="343"/>
      <c r="AM115" s="343"/>
      <c r="AN115" s="343"/>
      <c r="AO115" s="343"/>
    </row>
    <row r="116" spans="3:41" x14ac:dyDescent="0.25">
      <c r="C116" s="24"/>
      <c r="D116"/>
      <c r="E116"/>
      <c r="F116" t="s">
        <v>994</v>
      </c>
      <c r="G116" t="s">
        <v>213</v>
      </c>
      <c r="J116" s="319">
        <f t="shared" si="50"/>
        <v>1535048.510066451</v>
      </c>
      <c r="K116" s="339"/>
      <c r="L116" s="339"/>
      <c r="M116" s="319">
        <f t="shared" si="51"/>
        <v>109988.97120303195</v>
      </c>
      <c r="N116" s="319">
        <f t="shared" si="51"/>
        <v>109988.97120303195</v>
      </c>
      <c r="O116" s="319">
        <f t="shared" si="51"/>
        <v>18243.781096903222</v>
      </c>
      <c r="P116" s="319">
        <f t="shared" si="51"/>
        <v>18570.349705614339</v>
      </c>
      <c r="Q116" s="339"/>
      <c r="R116" s="339"/>
      <c r="S116" s="319">
        <f t="shared" si="52"/>
        <v>7420.7047762741031</v>
      </c>
      <c r="T116" s="319">
        <f t="shared" si="52"/>
        <v>7420.7047762741031</v>
      </c>
      <c r="U116" s="319">
        <f t="shared" si="52"/>
        <v>1174.2002627185211</v>
      </c>
      <c r="V116" s="319">
        <f t="shared" si="52"/>
        <v>1164.0900991675051</v>
      </c>
      <c r="W116" s="339"/>
      <c r="X116" s="319">
        <f t="shared" si="53"/>
        <v>7420.7047762741031</v>
      </c>
      <c r="Y116" s="319">
        <f t="shared" si="53"/>
        <v>7420.7047762741031</v>
      </c>
      <c r="Z116" s="319">
        <f t="shared" si="53"/>
        <v>1174.2002627185211</v>
      </c>
      <c r="AA116" s="319">
        <f t="shared" si="53"/>
        <v>1164.0900991675051</v>
      </c>
      <c r="AB116" s="339"/>
      <c r="AC116" s="319">
        <f t="shared" si="54"/>
        <v>728.00841928473346</v>
      </c>
      <c r="AD116" s="319">
        <f t="shared" si="54"/>
        <v>728.00841928473346</v>
      </c>
      <c r="AE116" s="319">
        <f t="shared" si="54"/>
        <v>124.32468778135895</v>
      </c>
      <c r="AF116" s="319">
        <f t="shared" si="54"/>
        <v>131.1966818180816</v>
      </c>
      <c r="AG116" s="319">
        <f t="shared" si="54"/>
        <v>2539</v>
      </c>
      <c r="AH116" s="339"/>
      <c r="AI116" s="339"/>
      <c r="AJ116" s="339"/>
      <c r="AK116" s="339"/>
      <c r="AL116" s="339"/>
      <c r="AM116" s="339"/>
      <c r="AN116" s="339"/>
      <c r="AO116" s="339"/>
    </row>
    <row r="117" spans="3:41" x14ac:dyDescent="0.25">
      <c r="C117" s="24"/>
      <c r="D117"/>
      <c r="E117"/>
      <c r="F117" t="s">
        <v>995</v>
      </c>
      <c r="G117" t="s">
        <v>213</v>
      </c>
      <c r="J117" s="319">
        <f t="shared" si="50"/>
        <v>1535048.510066451</v>
      </c>
      <c r="K117" s="339"/>
      <c r="L117" s="339"/>
      <c r="M117" s="319">
        <f t="shared" si="51"/>
        <v>65554.202849239358</v>
      </c>
      <c r="N117" s="319">
        <f t="shared" si="51"/>
        <v>62678.549450695813</v>
      </c>
      <c r="O117" s="319">
        <f t="shared" si="51"/>
        <v>62678.549450695813</v>
      </c>
      <c r="P117" s="319">
        <f t="shared" si="51"/>
        <v>18570.349705614339</v>
      </c>
      <c r="Q117" s="339"/>
      <c r="R117" s="339"/>
      <c r="S117" s="319">
        <f t="shared" si="52"/>
        <v>4369.4350446841345</v>
      </c>
      <c r="T117" s="319">
        <f t="shared" si="52"/>
        <v>4225.4699943084906</v>
      </c>
      <c r="U117" s="319">
        <f t="shared" si="52"/>
        <v>4225.4699943084906</v>
      </c>
      <c r="V117" s="319">
        <f t="shared" si="52"/>
        <v>1164.0900991675051</v>
      </c>
      <c r="W117" s="339"/>
      <c r="X117" s="319">
        <f t="shared" si="53"/>
        <v>4369.4350446841345</v>
      </c>
      <c r="Y117" s="319">
        <f t="shared" si="53"/>
        <v>4225.4699943084906</v>
      </c>
      <c r="Z117" s="319">
        <f t="shared" si="53"/>
        <v>4225.4699943084906</v>
      </c>
      <c r="AA117" s="319">
        <f t="shared" si="53"/>
        <v>1164.0900991675051</v>
      </c>
      <c r="AB117" s="339"/>
      <c r="AC117" s="319">
        <f t="shared" si="54"/>
        <v>324.56593594261994</v>
      </c>
      <c r="AD117" s="319">
        <f t="shared" si="54"/>
        <v>527.76717112347251</v>
      </c>
      <c r="AE117" s="319">
        <f t="shared" si="54"/>
        <v>527.76717112347251</v>
      </c>
      <c r="AF117" s="319">
        <f t="shared" si="54"/>
        <v>131.1966818180816</v>
      </c>
      <c r="AG117" s="319">
        <f t="shared" si="54"/>
        <v>2539</v>
      </c>
      <c r="AH117" s="339"/>
      <c r="AI117" s="339"/>
      <c r="AJ117" s="339"/>
      <c r="AK117" s="339"/>
      <c r="AL117" s="339"/>
      <c r="AM117" s="339"/>
      <c r="AN117" s="339"/>
      <c r="AO117" s="339"/>
    </row>
    <row r="118" spans="3:41" x14ac:dyDescent="0.25">
      <c r="C118" s="24"/>
      <c r="D118"/>
      <c r="E118"/>
      <c r="F118" t="s">
        <v>996</v>
      </c>
      <c r="G118" t="s">
        <v>213</v>
      </c>
      <c r="J118" s="319">
        <f t="shared" si="50"/>
        <v>1535048.510066451</v>
      </c>
      <c r="K118" s="339"/>
      <c r="L118" s="339"/>
      <c r="M118" s="319">
        <f t="shared" si="51"/>
        <v>65554.202849239358</v>
      </c>
      <c r="N118" s="319">
        <f t="shared" si="51"/>
        <v>44434.768353792591</v>
      </c>
      <c r="O118" s="319">
        <f t="shared" si="51"/>
        <v>36814.13080251756</v>
      </c>
      <c r="P118" s="319">
        <f t="shared" si="51"/>
        <v>36814.13080251756</v>
      </c>
      <c r="Q118" s="339"/>
      <c r="R118" s="339"/>
      <c r="S118" s="319">
        <f t="shared" si="52"/>
        <v>4369.4350446841345</v>
      </c>
      <c r="T118" s="319">
        <f t="shared" si="52"/>
        <v>3051.2697315899695</v>
      </c>
      <c r="U118" s="319">
        <f t="shared" si="52"/>
        <v>2338.2903618860264</v>
      </c>
      <c r="V118" s="319">
        <f t="shared" si="52"/>
        <v>2338.2903618860264</v>
      </c>
      <c r="W118" s="339"/>
      <c r="X118" s="319">
        <f t="shared" si="53"/>
        <v>4369.4350446841345</v>
      </c>
      <c r="Y118" s="319">
        <f t="shared" si="53"/>
        <v>3051.2697315899695</v>
      </c>
      <c r="Z118" s="319">
        <f t="shared" si="53"/>
        <v>2338.2903618860264</v>
      </c>
      <c r="AA118" s="319">
        <f t="shared" si="53"/>
        <v>2338.2903618860264</v>
      </c>
      <c r="AB118" s="339"/>
      <c r="AC118" s="319">
        <f t="shared" si="54"/>
        <v>324.56593594261994</v>
      </c>
      <c r="AD118" s="319">
        <f t="shared" si="54"/>
        <v>403.44248334211352</v>
      </c>
      <c r="AE118" s="319">
        <f t="shared" si="54"/>
        <v>255.52136959944056</v>
      </c>
      <c r="AF118" s="319">
        <f t="shared" si="54"/>
        <v>255.52136959944056</v>
      </c>
      <c r="AG118" s="319">
        <f t="shared" si="54"/>
        <v>2539</v>
      </c>
      <c r="AH118" s="339"/>
      <c r="AI118" s="339"/>
      <c r="AJ118" s="339"/>
      <c r="AK118" s="339"/>
      <c r="AL118" s="339"/>
      <c r="AM118" s="339"/>
      <c r="AN118" s="339"/>
      <c r="AO118" s="339"/>
    </row>
    <row r="119" spans="3:41" x14ac:dyDescent="0.25">
      <c r="C119" s="24"/>
      <c r="D119"/>
      <c r="E119"/>
      <c r="F119" t="s">
        <v>997</v>
      </c>
      <c r="G119" t="s">
        <v>213</v>
      </c>
      <c r="J119" s="319">
        <f t="shared" si="50"/>
        <v>1535048.510066451</v>
      </c>
      <c r="K119" s="339"/>
      <c r="L119" s="339"/>
      <c r="M119" s="319">
        <f t="shared" si="51"/>
        <v>109988.97120303195</v>
      </c>
      <c r="N119" s="319">
        <f t="shared" si="51"/>
        <v>109988.97120303195</v>
      </c>
      <c r="O119" s="319">
        <f t="shared" si="51"/>
        <v>36814.13080251756</v>
      </c>
      <c r="P119" s="319">
        <f t="shared" si="51"/>
        <v>36814.13080251756</v>
      </c>
      <c r="Q119" s="339"/>
      <c r="R119" s="339"/>
      <c r="S119" s="319">
        <f t="shared" si="52"/>
        <v>7420.7047762741031</v>
      </c>
      <c r="T119" s="319">
        <f t="shared" si="52"/>
        <v>7420.7047762741031</v>
      </c>
      <c r="U119" s="319">
        <f t="shared" si="52"/>
        <v>2338.2903618860264</v>
      </c>
      <c r="V119" s="319">
        <f t="shared" si="52"/>
        <v>2338.2903618860264</v>
      </c>
      <c r="W119" s="339"/>
      <c r="X119" s="319">
        <f t="shared" si="53"/>
        <v>7420.7047762741031</v>
      </c>
      <c r="Y119" s="319">
        <f t="shared" si="53"/>
        <v>7420.7047762741031</v>
      </c>
      <c r="Z119" s="319">
        <f t="shared" si="53"/>
        <v>2338.2903618860264</v>
      </c>
      <c r="AA119" s="319">
        <f t="shared" si="53"/>
        <v>2338.2903618860264</v>
      </c>
      <c r="AB119" s="339"/>
      <c r="AC119" s="319">
        <f t="shared" si="54"/>
        <v>728.00841928473346</v>
      </c>
      <c r="AD119" s="319">
        <f t="shared" si="54"/>
        <v>728.00841928473346</v>
      </c>
      <c r="AE119" s="319">
        <f t="shared" si="54"/>
        <v>255.52136959944056</v>
      </c>
      <c r="AF119" s="319">
        <f t="shared" si="54"/>
        <v>255.52136959944056</v>
      </c>
      <c r="AG119" s="319">
        <f t="shared" si="54"/>
        <v>2539</v>
      </c>
      <c r="AH119" s="339"/>
      <c r="AI119" s="339"/>
      <c r="AJ119" s="339"/>
      <c r="AK119" s="339"/>
      <c r="AL119" s="339"/>
      <c r="AM119" s="339"/>
      <c r="AN119" s="339"/>
      <c r="AO119" s="339"/>
    </row>
    <row r="120" spans="3:41" x14ac:dyDescent="0.25">
      <c r="C120" s="24"/>
      <c r="D120"/>
      <c r="E120"/>
      <c r="F120" t="s">
        <v>998</v>
      </c>
      <c r="G120" t="s">
        <v>213</v>
      </c>
      <c r="J120" s="319">
        <f t="shared" si="50"/>
        <v>1535048.510066451</v>
      </c>
      <c r="K120" s="339"/>
      <c r="L120" s="339"/>
      <c r="M120" s="319">
        <f t="shared" si="51"/>
        <v>128232.75229993518</v>
      </c>
      <c r="N120" s="319">
        <f t="shared" si="51"/>
        <v>128232.75229993518</v>
      </c>
      <c r="O120" s="319">
        <f t="shared" si="51"/>
        <v>128232.75229993518</v>
      </c>
      <c r="P120" s="319">
        <f t="shared" si="51"/>
        <v>18570.349705614339</v>
      </c>
      <c r="Q120" s="339"/>
      <c r="R120" s="339"/>
      <c r="S120" s="319">
        <f t="shared" si="52"/>
        <v>8594.9050389926233</v>
      </c>
      <c r="T120" s="319">
        <f t="shared" si="52"/>
        <v>8594.9050389926233</v>
      </c>
      <c r="U120" s="319">
        <f t="shared" si="52"/>
        <v>8594.9050389926233</v>
      </c>
      <c r="V120" s="319">
        <f t="shared" si="52"/>
        <v>1164.0900991675051</v>
      </c>
      <c r="W120" s="339"/>
      <c r="X120" s="319">
        <f t="shared" si="53"/>
        <v>8594.9050389926233</v>
      </c>
      <c r="Y120" s="319">
        <f t="shared" si="53"/>
        <v>8594.9050389926233</v>
      </c>
      <c r="Z120" s="319">
        <f t="shared" si="53"/>
        <v>8594.9050389926233</v>
      </c>
      <c r="AA120" s="319">
        <f t="shared" si="53"/>
        <v>1164.0900991675051</v>
      </c>
      <c r="AB120" s="339"/>
      <c r="AC120" s="319">
        <f t="shared" si="54"/>
        <v>852.33310706609245</v>
      </c>
      <c r="AD120" s="319">
        <f t="shared" si="54"/>
        <v>852.33310706609245</v>
      </c>
      <c r="AE120" s="319">
        <f t="shared" si="54"/>
        <v>852.33310706609245</v>
      </c>
      <c r="AF120" s="319">
        <f t="shared" si="54"/>
        <v>131.1966818180816</v>
      </c>
      <c r="AG120" s="319">
        <f t="shared" si="54"/>
        <v>2539</v>
      </c>
      <c r="AH120" s="339"/>
      <c r="AI120" s="339"/>
      <c r="AJ120" s="339"/>
      <c r="AK120" s="339"/>
      <c r="AL120" s="339"/>
      <c r="AM120" s="339"/>
      <c r="AN120" s="339"/>
      <c r="AO120" s="339"/>
    </row>
    <row r="121" spans="3:41" x14ac:dyDescent="0.25">
      <c r="C121" s="24"/>
      <c r="D121"/>
      <c r="E121"/>
      <c r="F121" t="s">
        <v>999</v>
      </c>
      <c r="G121" t="s">
        <v>213</v>
      </c>
      <c r="J121" s="319">
        <f t="shared" si="50"/>
        <v>1535048.510066451</v>
      </c>
      <c r="K121" s="339"/>
      <c r="L121" s="339"/>
      <c r="M121" s="319">
        <f t="shared" si="51"/>
        <v>65554.202849239358</v>
      </c>
      <c r="N121" s="319">
        <f t="shared" si="51"/>
        <v>81248.899156310159</v>
      </c>
      <c r="O121" s="319">
        <f t="shared" si="51"/>
        <v>81248.899156310159</v>
      </c>
      <c r="P121" s="319">
        <f t="shared" si="51"/>
        <v>81248.899156310159</v>
      </c>
      <c r="Q121" s="339"/>
      <c r="R121" s="339"/>
      <c r="S121" s="319">
        <f t="shared" si="52"/>
        <v>4369.4350446841345</v>
      </c>
      <c r="T121" s="319">
        <f t="shared" si="52"/>
        <v>5389.560093475995</v>
      </c>
      <c r="U121" s="319">
        <f t="shared" si="52"/>
        <v>5389.560093475995</v>
      </c>
      <c r="V121" s="319">
        <f t="shared" si="52"/>
        <v>5389.560093475995</v>
      </c>
      <c r="W121" s="339"/>
      <c r="X121" s="319">
        <f t="shared" si="53"/>
        <v>4369.4350446841345</v>
      </c>
      <c r="Y121" s="319">
        <f t="shared" si="53"/>
        <v>5389.560093475995</v>
      </c>
      <c r="Z121" s="319">
        <f t="shared" si="53"/>
        <v>5389.560093475995</v>
      </c>
      <c r="AA121" s="319">
        <f t="shared" si="53"/>
        <v>5389.560093475995</v>
      </c>
      <c r="AB121" s="339"/>
      <c r="AC121" s="319">
        <f t="shared" si="54"/>
        <v>324.56593594261994</v>
      </c>
      <c r="AD121" s="319">
        <f t="shared" si="54"/>
        <v>658.96385294155414</v>
      </c>
      <c r="AE121" s="319">
        <f t="shared" si="54"/>
        <v>658.96385294155414</v>
      </c>
      <c r="AF121" s="319">
        <f t="shared" si="54"/>
        <v>658.96385294155414</v>
      </c>
      <c r="AG121" s="319">
        <f t="shared" si="54"/>
        <v>2539</v>
      </c>
      <c r="AH121" s="339"/>
      <c r="AI121" s="339"/>
      <c r="AJ121" s="339"/>
      <c r="AK121" s="339"/>
      <c r="AL121" s="339"/>
      <c r="AM121" s="339"/>
      <c r="AN121" s="339"/>
      <c r="AO121" s="339"/>
    </row>
    <row r="122" spans="3:41" x14ac:dyDescent="0.25">
      <c r="C122" s="24"/>
      <c r="D122"/>
      <c r="E122"/>
      <c r="F122" s="28" t="s">
        <v>1000</v>
      </c>
      <c r="G122" s="28" t="s">
        <v>213</v>
      </c>
      <c r="H122" s="28"/>
      <c r="I122" s="28"/>
      <c r="J122" s="345">
        <f t="shared" si="50"/>
        <v>1535048.510066451</v>
      </c>
      <c r="K122" s="341"/>
      <c r="L122" s="341"/>
      <c r="M122" s="345">
        <f t="shared" si="51"/>
        <v>146803.10200554953</v>
      </c>
      <c r="N122" s="345">
        <f t="shared" si="51"/>
        <v>146803.10200554953</v>
      </c>
      <c r="O122" s="345">
        <f t="shared" si="51"/>
        <v>146803.10200554953</v>
      </c>
      <c r="P122" s="345">
        <f t="shared" si="51"/>
        <v>146803.10200554953</v>
      </c>
      <c r="Q122" s="341"/>
      <c r="R122" s="341"/>
      <c r="S122" s="345">
        <f t="shared" si="52"/>
        <v>9758.9951381601277</v>
      </c>
      <c r="T122" s="345">
        <f t="shared" si="52"/>
        <v>9758.9951381601277</v>
      </c>
      <c r="U122" s="345">
        <f t="shared" si="52"/>
        <v>9758.9951381601277</v>
      </c>
      <c r="V122" s="345">
        <f t="shared" si="52"/>
        <v>9758.9951381601277</v>
      </c>
      <c r="W122" s="341"/>
      <c r="X122" s="345">
        <f t="shared" si="53"/>
        <v>9758.9951381601277</v>
      </c>
      <c r="Y122" s="345">
        <f t="shared" si="53"/>
        <v>9758.9951381601277</v>
      </c>
      <c r="Z122" s="345">
        <f t="shared" si="53"/>
        <v>9758.9951381601277</v>
      </c>
      <c r="AA122" s="345">
        <f t="shared" si="53"/>
        <v>9758.9951381601277</v>
      </c>
      <c r="AB122" s="341"/>
      <c r="AC122" s="345">
        <f t="shared" si="54"/>
        <v>983.52978888417408</v>
      </c>
      <c r="AD122" s="345">
        <f t="shared" si="54"/>
        <v>983.52978888417408</v>
      </c>
      <c r="AE122" s="345">
        <f t="shared" si="54"/>
        <v>983.52978888417408</v>
      </c>
      <c r="AF122" s="345">
        <f t="shared" si="54"/>
        <v>983.52978888417408</v>
      </c>
      <c r="AG122" s="345">
        <f t="shared" si="54"/>
        <v>2539</v>
      </c>
      <c r="AH122" s="341"/>
      <c r="AI122" s="341"/>
      <c r="AJ122" s="341"/>
      <c r="AK122" s="341"/>
      <c r="AL122" s="341"/>
      <c r="AM122" s="341"/>
      <c r="AN122" s="341"/>
      <c r="AO122" s="341"/>
    </row>
    <row r="123" spans="3:41" x14ac:dyDescent="0.25">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25">
      <c r="C124" s="24"/>
      <c r="D124"/>
      <c r="E124" t="s">
        <v>1008</v>
      </c>
      <c r="G124" t="s">
        <v>150</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25">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25">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25">
      <c r="C127" s="24"/>
      <c r="D127"/>
      <c r="E127"/>
      <c r="F127" s="19" t="s">
        <v>993</v>
      </c>
      <c r="G127" s="19" t="s">
        <v>907</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25">
      <c r="C128" s="24"/>
      <c r="D128"/>
      <c r="E128"/>
      <c r="F128" t="s">
        <v>994</v>
      </c>
      <c r="G128" t="s">
        <v>907</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25">
      <c r="C129" s="24"/>
      <c r="D129"/>
      <c r="E129"/>
      <c r="F129" t="s">
        <v>995</v>
      </c>
      <c r="G129" t="s">
        <v>907</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25">
      <c r="C130" s="24"/>
      <c r="D130"/>
      <c r="E130"/>
      <c r="F130" t="s">
        <v>996</v>
      </c>
      <c r="G130" t="s">
        <v>907</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25">
      <c r="C131" s="24"/>
      <c r="D131"/>
      <c r="E131"/>
      <c r="F131" t="s">
        <v>997</v>
      </c>
      <c r="G131" t="s">
        <v>907</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25">
      <c r="C132" s="24"/>
      <c r="D132"/>
      <c r="E132"/>
      <c r="F132" t="s">
        <v>998</v>
      </c>
      <c r="G132" t="s">
        <v>907</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25">
      <c r="C133" s="24"/>
      <c r="D133"/>
      <c r="E133"/>
      <c r="F133" t="s">
        <v>999</v>
      </c>
      <c r="G133" t="s">
        <v>907</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25">
      <c r="C134" s="24"/>
      <c r="D134"/>
      <c r="E134"/>
      <c r="F134" s="28" t="s">
        <v>1000</v>
      </c>
      <c r="G134" s="28" t="s">
        <v>907</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25">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25">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25">
      <c r="C137" s="24"/>
      <c r="D137"/>
      <c r="E137"/>
      <c r="F137" s="19" t="s">
        <v>993</v>
      </c>
      <c r="G137" s="19" t="s">
        <v>150</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25">
      <c r="C138" s="24"/>
      <c r="D138"/>
      <c r="E138"/>
      <c r="F138" t="s">
        <v>994</v>
      </c>
      <c r="G138" t="s">
        <v>150</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25">
      <c r="C139" s="24"/>
      <c r="D139"/>
      <c r="E139"/>
      <c r="F139" t="s">
        <v>995</v>
      </c>
      <c r="G139" t="s">
        <v>150</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25">
      <c r="C140" s="24"/>
      <c r="D140"/>
      <c r="E140"/>
      <c r="F140" t="s">
        <v>996</v>
      </c>
      <c r="G140" t="s">
        <v>150</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25">
      <c r="C141" s="24"/>
      <c r="D141"/>
      <c r="E141"/>
      <c r="F141" t="s">
        <v>997</v>
      </c>
      <c r="G141" t="s">
        <v>150</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25">
      <c r="C142" s="24"/>
      <c r="D142"/>
      <c r="E142"/>
      <c r="F142" t="s">
        <v>998</v>
      </c>
      <c r="G142" t="s">
        <v>150</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25">
      <c r="C143" s="24"/>
      <c r="D143"/>
      <c r="E143"/>
      <c r="F143" t="s">
        <v>999</v>
      </c>
      <c r="G143" t="s">
        <v>150</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25">
      <c r="C144" s="24"/>
      <c r="D144"/>
      <c r="E144"/>
      <c r="F144" s="28" t="s">
        <v>1000</v>
      </c>
      <c r="G144" s="28" t="s">
        <v>150</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25">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25">
      <c r="C146" s="24"/>
      <c r="D146"/>
      <c r="E146" t="s">
        <v>1010</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25">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25">
      <c r="C148" s="24"/>
      <c r="D148"/>
      <c r="E148" t="s">
        <v>1009</v>
      </c>
      <c r="G148" t="s">
        <v>150</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25">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25">
      <c r="C150" s="24"/>
      <c r="E150" t="s">
        <v>1018</v>
      </c>
      <c r="G150" t="s">
        <v>150</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25">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25">
      <c r="C154" s="24"/>
      <c r="D154"/>
      <c r="E154" t="s">
        <v>1027</v>
      </c>
      <c r="G154" t="s">
        <v>213</v>
      </c>
      <c r="J154" s="153">
        <f t="shared" ref="J154:AO154" si="98">IF(J32, J56, 0)</f>
        <v>1535048.510066451</v>
      </c>
      <c r="K154" s="153">
        <f t="shared" si="98"/>
        <v>0</v>
      </c>
      <c r="L154" s="153">
        <f t="shared" si="98"/>
        <v>0</v>
      </c>
      <c r="M154" s="153">
        <f t="shared" si="98"/>
        <v>65554.202849239358</v>
      </c>
      <c r="N154" s="153">
        <f t="shared" si="98"/>
        <v>44434.768353792591</v>
      </c>
      <c r="O154" s="153">
        <f t="shared" si="98"/>
        <v>18243.781096903222</v>
      </c>
      <c r="P154" s="153">
        <f t="shared" si="98"/>
        <v>18570.349705614339</v>
      </c>
      <c r="Q154" s="153">
        <f t="shared" si="98"/>
        <v>0</v>
      </c>
      <c r="R154" s="153">
        <f t="shared" si="98"/>
        <v>0</v>
      </c>
      <c r="S154" s="153">
        <f t="shared" si="98"/>
        <v>4025.3263737509701</v>
      </c>
      <c r="T154" s="153">
        <f t="shared" si="98"/>
        <v>2584.2369665669521</v>
      </c>
      <c r="U154" s="153">
        <f t="shared" si="98"/>
        <v>860.15947403315749</v>
      </c>
      <c r="V154" s="153">
        <f t="shared" si="98"/>
        <v>562.70551517850458</v>
      </c>
      <c r="W154" s="153">
        <f t="shared" si="98"/>
        <v>0</v>
      </c>
      <c r="X154" s="153">
        <f t="shared" si="98"/>
        <v>344.10867093316392</v>
      </c>
      <c r="Y154" s="153">
        <f t="shared" si="98"/>
        <v>467.03276502301753</v>
      </c>
      <c r="Z154" s="153">
        <f t="shared" si="98"/>
        <v>314.04078868536357</v>
      </c>
      <c r="AA154" s="153">
        <f t="shared" si="98"/>
        <v>601.38458398900048</v>
      </c>
      <c r="AB154" s="153">
        <f t="shared" si="98"/>
        <v>0</v>
      </c>
      <c r="AC154" s="153">
        <f t="shared" si="98"/>
        <v>324.56593594261994</v>
      </c>
      <c r="AD154" s="153">
        <f t="shared" si="98"/>
        <v>403.44248334211352</v>
      </c>
      <c r="AE154" s="153">
        <f t="shared" si="98"/>
        <v>124.32468778135895</v>
      </c>
      <c r="AF154" s="153">
        <f t="shared" si="98"/>
        <v>131.1966818180816</v>
      </c>
      <c r="AG154" s="153">
        <f t="shared" si="98"/>
        <v>2539</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25">
      <c r="C156" s="24"/>
      <c r="D156"/>
      <c r="E156" t="s">
        <v>1024</v>
      </c>
      <c r="G156" t="s">
        <v>213</v>
      </c>
      <c r="J156" s="153">
        <f t="shared" ref="J156:AO156" si="99">SUMIF($J$150:$AO$150,J150,$J$154:$AO$154)</f>
        <v>1535048.510066451</v>
      </c>
      <c r="K156" s="153">
        <f t="shared" si="99"/>
        <v>0</v>
      </c>
      <c r="L156" s="153">
        <f t="shared" si="99"/>
        <v>0</v>
      </c>
      <c r="M156" s="153">
        <f t="shared" si="99"/>
        <v>65554.202849239358</v>
      </c>
      <c r="N156" s="153">
        <f t="shared" si="99"/>
        <v>44434.768353792591</v>
      </c>
      <c r="O156" s="153">
        <f t="shared" si="99"/>
        <v>18243.781096903222</v>
      </c>
      <c r="P156" s="153">
        <f t="shared" si="99"/>
        <v>18570.349705614339</v>
      </c>
      <c r="Q156" s="153">
        <f t="shared" si="99"/>
        <v>0</v>
      </c>
      <c r="R156" s="153">
        <f t="shared" si="99"/>
        <v>0</v>
      </c>
      <c r="S156" s="153">
        <f t="shared" si="99"/>
        <v>4369.4350446841345</v>
      </c>
      <c r="T156" s="153">
        <f t="shared" si="99"/>
        <v>3051.2697315899695</v>
      </c>
      <c r="U156" s="153">
        <f t="shared" si="99"/>
        <v>1174.2002627185211</v>
      </c>
      <c r="V156" s="153">
        <f t="shared" si="99"/>
        <v>1164.0900991675051</v>
      </c>
      <c r="W156" s="153">
        <f t="shared" si="99"/>
        <v>0</v>
      </c>
      <c r="X156" s="153">
        <f t="shared" si="99"/>
        <v>4369.4350446841345</v>
      </c>
      <c r="Y156" s="153">
        <f t="shared" si="99"/>
        <v>3051.2697315899695</v>
      </c>
      <c r="Z156" s="153">
        <f t="shared" si="99"/>
        <v>1174.2002627185211</v>
      </c>
      <c r="AA156" s="153">
        <f t="shared" si="99"/>
        <v>1164.0900991675051</v>
      </c>
      <c r="AB156" s="153">
        <f t="shared" si="99"/>
        <v>0</v>
      </c>
      <c r="AC156" s="153">
        <f t="shared" si="99"/>
        <v>324.56593594261994</v>
      </c>
      <c r="AD156" s="153">
        <f t="shared" si="99"/>
        <v>403.44248334211352</v>
      </c>
      <c r="AE156" s="153">
        <f t="shared" si="99"/>
        <v>124.32468778135895</v>
      </c>
      <c r="AF156" s="153">
        <f t="shared" si="99"/>
        <v>131.1966818180816</v>
      </c>
      <c r="AG156" s="153">
        <f t="shared" si="99"/>
        <v>2539</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25">
      <c r="C158" s="24"/>
      <c r="D158"/>
      <c r="E158" t="s">
        <v>1133</v>
      </c>
      <c r="G158" t="s">
        <v>168</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0.92124641574617117</v>
      </c>
      <c r="T158" s="376">
        <f t="shared" si="100"/>
        <v>0.8469382237211609</v>
      </c>
      <c r="U158" s="376">
        <f t="shared" si="100"/>
        <v>0.73254920931605572</v>
      </c>
      <c r="V158" s="376">
        <f t="shared" si="100"/>
        <v>0.48338656567985711</v>
      </c>
      <c r="W158" s="376">
        <f t="shared" si="100"/>
        <v>0</v>
      </c>
      <c r="X158" s="376">
        <f t="shared" si="100"/>
        <v>7.8753584253828737E-2</v>
      </c>
      <c r="Y158" s="376">
        <f t="shared" si="100"/>
        <v>0.15306177627883916</v>
      </c>
      <c r="Z158" s="376">
        <f t="shared" si="100"/>
        <v>0.26745079068394428</v>
      </c>
      <c r="AA158" s="376">
        <f t="shared" si="100"/>
        <v>0.51661343432014284</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25">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155</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208</v>
      </c>
      <c r="J165" s="153">
        <f t="shared" ref="J165:AO165" si="101">SUM(J53:J55)</f>
        <v>5174558.061048096</v>
      </c>
      <c r="K165" s="153">
        <f t="shared" si="101"/>
        <v>29226.357169117226</v>
      </c>
      <c r="L165" s="153">
        <f t="shared" si="101"/>
        <v>30.956357544119228</v>
      </c>
      <c r="M165" s="153">
        <f t="shared" si="101"/>
        <v>82614.911683494181</v>
      </c>
      <c r="N165" s="153">
        <f t="shared" si="101"/>
        <v>330460.91666486498</v>
      </c>
      <c r="O165" s="153">
        <f t="shared" si="101"/>
        <v>325480.05112193263</v>
      </c>
      <c r="P165" s="153">
        <f t="shared" si="101"/>
        <v>1080523.0302417865</v>
      </c>
      <c r="Q165" s="153">
        <f t="shared" si="101"/>
        <v>12347.199084923426</v>
      </c>
      <c r="R165" s="153">
        <f t="shared" si="101"/>
        <v>1683.222634404256</v>
      </c>
      <c r="S165" s="153">
        <f t="shared" si="101"/>
        <v>387075.76876741054</v>
      </c>
      <c r="T165" s="153">
        <f t="shared" si="101"/>
        <v>444477.21732674824</v>
      </c>
      <c r="U165" s="153">
        <f t="shared" si="101"/>
        <v>221970.78553531147</v>
      </c>
      <c r="V165" s="153">
        <f t="shared" si="101"/>
        <v>263431.7540363851</v>
      </c>
      <c r="W165" s="153">
        <f t="shared" si="101"/>
        <v>630.74884269925224</v>
      </c>
      <c r="X165" s="153">
        <f t="shared" si="101"/>
        <v>40265.685453123762</v>
      </c>
      <c r="Y165" s="153">
        <f t="shared" si="101"/>
        <v>98808.696360886112</v>
      </c>
      <c r="Z165" s="153">
        <f t="shared" si="101"/>
        <v>101177.66379978857</v>
      </c>
      <c r="AA165" s="153">
        <f t="shared" si="101"/>
        <v>417731.26513758488</v>
      </c>
      <c r="AB165" s="153">
        <f t="shared" si="101"/>
        <v>6221.4610639497387</v>
      </c>
      <c r="AC165" s="153">
        <f t="shared" si="101"/>
        <v>188524.67482677934</v>
      </c>
      <c r="AD165" s="153">
        <f t="shared" si="101"/>
        <v>580026.77361878159</v>
      </c>
      <c r="AE165" s="153">
        <f t="shared" si="101"/>
        <v>396280.8404195474</v>
      </c>
      <c r="AF165" s="153">
        <f t="shared" si="101"/>
        <v>1057319.1657627686</v>
      </c>
      <c r="AG165" s="153">
        <f t="shared" si="101"/>
        <v>100800.08293841338</v>
      </c>
      <c r="AH165" s="153">
        <f t="shared" si="101"/>
        <v>7273.1738279259462</v>
      </c>
      <c r="AI165" s="153">
        <f t="shared" si="101"/>
        <v>0</v>
      </c>
      <c r="AJ165" s="153">
        <f t="shared" si="101"/>
        <v>62641.673398829313</v>
      </c>
      <c r="AK165" s="153">
        <f t="shared" si="101"/>
        <v>0</v>
      </c>
      <c r="AL165" s="153">
        <f t="shared" si="101"/>
        <v>14960.225003718559</v>
      </c>
      <c r="AM165" s="153">
        <f t="shared" si="101"/>
        <v>0</v>
      </c>
      <c r="AN165" s="153">
        <f t="shared" si="101"/>
        <v>560129.43499738351</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208</v>
      </c>
      <c r="J167" s="153">
        <f t="shared" ref="J167:AO167" si="102">IF(J32,J165, 0)</f>
        <v>5174558.061048096</v>
      </c>
      <c r="K167" s="153">
        <f t="shared" si="102"/>
        <v>0</v>
      </c>
      <c r="L167" s="153">
        <f t="shared" si="102"/>
        <v>0</v>
      </c>
      <c r="M167" s="153">
        <f t="shared" si="102"/>
        <v>82614.911683494181</v>
      </c>
      <c r="N167" s="153">
        <f t="shared" si="102"/>
        <v>330460.91666486498</v>
      </c>
      <c r="O167" s="153">
        <f t="shared" si="102"/>
        <v>325480.05112193263</v>
      </c>
      <c r="P167" s="153">
        <f t="shared" si="102"/>
        <v>1080523.0302417865</v>
      </c>
      <c r="Q167" s="153">
        <f t="shared" si="102"/>
        <v>0</v>
      </c>
      <c r="R167" s="153">
        <f t="shared" si="102"/>
        <v>0</v>
      </c>
      <c r="S167" s="153">
        <f t="shared" si="102"/>
        <v>387075.76876741054</v>
      </c>
      <c r="T167" s="153">
        <f t="shared" si="102"/>
        <v>444477.21732674824</v>
      </c>
      <c r="U167" s="153">
        <f t="shared" si="102"/>
        <v>221970.78553531147</v>
      </c>
      <c r="V167" s="153">
        <f t="shared" si="102"/>
        <v>263431.7540363851</v>
      </c>
      <c r="W167" s="153">
        <f t="shared" si="102"/>
        <v>0</v>
      </c>
      <c r="X167" s="153">
        <f t="shared" si="102"/>
        <v>40265.685453123762</v>
      </c>
      <c r="Y167" s="153">
        <f t="shared" si="102"/>
        <v>98808.696360886112</v>
      </c>
      <c r="Z167" s="153">
        <f t="shared" si="102"/>
        <v>101177.66379978857</v>
      </c>
      <c r="AA167" s="153">
        <f t="shared" si="102"/>
        <v>417731.26513758488</v>
      </c>
      <c r="AB167" s="153">
        <f t="shared" si="102"/>
        <v>0</v>
      </c>
      <c r="AC167" s="153">
        <f t="shared" si="102"/>
        <v>188524.67482677934</v>
      </c>
      <c r="AD167" s="153">
        <f t="shared" si="102"/>
        <v>580026.77361878159</v>
      </c>
      <c r="AE167" s="153">
        <f t="shared" si="102"/>
        <v>396280.8404195474</v>
      </c>
      <c r="AF167" s="153">
        <f t="shared" si="102"/>
        <v>1057319.1657627686</v>
      </c>
      <c r="AG167" s="153">
        <f t="shared" si="102"/>
        <v>100800.08293841338</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168</v>
      </c>
      <c r="J171" s="361">
        <v>1</v>
      </c>
      <c r="K171" s="56"/>
      <c r="L171" s="69"/>
      <c r="M171" s="398">
        <f>'Volume adjustments'!K689</f>
        <v>4.5415020403353837E-2</v>
      </c>
      <c r="N171" s="398">
        <f>'Volume adjustments'!L689</f>
        <v>0.18166077971907238</v>
      </c>
      <c r="O171" s="398">
        <f>'Volume adjustments'!M689</f>
        <v>0.17892270125782259</v>
      </c>
      <c r="P171" s="398">
        <f>'Volume adjustments'!N689</f>
        <v>0.59398448130918546</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208</v>
      </c>
      <c r="J173" s="153">
        <f>J171*$K165</f>
        <v>29226.357169117226</v>
      </c>
      <c r="K173" s="69"/>
      <c r="L173" s="69"/>
      <c r="M173" s="153">
        <f>M171*$Q165</f>
        <v>560.74829836606921</v>
      </c>
      <c r="N173" s="153">
        <f>N171*$Q165</f>
        <v>2243.0018131138067</v>
      </c>
      <c r="O173" s="153">
        <f>O171*$Q165</f>
        <v>2209.1942132426148</v>
      </c>
      <c r="P173" s="153">
        <f>P171*$Q165</f>
        <v>7334.0446440794904</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208</v>
      </c>
      <c r="J175" s="153">
        <f t="shared" ref="J175:AO175" si="103">J167+J173</f>
        <v>5203784.4182172129</v>
      </c>
      <c r="K175" s="153">
        <f t="shared" si="103"/>
        <v>0</v>
      </c>
      <c r="L175" s="153">
        <f t="shared" si="103"/>
        <v>0</v>
      </c>
      <c r="M175" s="153">
        <f t="shared" si="103"/>
        <v>83175.659981860255</v>
      </c>
      <c r="N175" s="153">
        <f t="shared" si="103"/>
        <v>332703.91847797879</v>
      </c>
      <c r="O175" s="153">
        <f t="shared" si="103"/>
        <v>327689.24533517525</v>
      </c>
      <c r="P175" s="153">
        <f t="shared" si="103"/>
        <v>1087857.0748858659</v>
      </c>
      <c r="Q175" s="153">
        <f t="shared" si="103"/>
        <v>0</v>
      </c>
      <c r="R175" s="153">
        <f t="shared" si="103"/>
        <v>0</v>
      </c>
      <c r="S175" s="153">
        <f t="shared" si="103"/>
        <v>387075.76876741054</v>
      </c>
      <c r="T175" s="153">
        <f t="shared" si="103"/>
        <v>444477.21732674824</v>
      </c>
      <c r="U175" s="153">
        <f t="shared" si="103"/>
        <v>221970.78553531147</v>
      </c>
      <c r="V175" s="153">
        <f t="shared" si="103"/>
        <v>263431.7540363851</v>
      </c>
      <c r="W175" s="153">
        <f t="shared" si="103"/>
        <v>0</v>
      </c>
      <c r="X175" s="153">
        <f t="shared" si="103"/>
        <v>40265.685453123762</v>
      </c>
      <c r="Y175" s="153">
        <f t="shared" si="103"/>
        <v>98808.696360886112</v>
      </c>
      <c r="Z175" s="153">
        <f t="shared" si="103"/>
        <v>101177.66379978857</v>
      </c>
      <c r="AA175" s="153">
        <f t="shared" si="103"/>
        <v>417731.26513758488</v>
      </c>
      <c r="AB175" s="153">
        <f t="shared" si="103"/>
        <v>0</v>
      </c>
      <c r="AC175" s="153">
        <f t="shared" si="103"/>
        <v>188524.67482677934</v>
      </c>
      <c r="AD175" s="153">
        <f t="shared" si="103"/>
        <v>580026.77361878159</v>
      </c>
      <c r="AE175" s="153">
        <f t="shared" si="103"/>
        <v>396280.8404195474</v>
      </c>
      <c r="AF175" s="153">
        <f t="shared" si="103"/>
        <v>1057319.1657627686</v>
      </c>
      <c r="AG175" s="153">
        <f t="shared" si="103"/>
        <v>100800.08293841338</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155</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c r="E183" t="s">
        <v>1023</v>
      </c>
      <c r="G183" t="s">
        <v>208</v>
      </c>
      <c r="J183" s="153">
        <f t="shared" ref="J183:AO183" si="104">SUMIF($J$150:$AO$150,J150,$J$175:$AO$175)</f>
        <v>5203784.4182172129</v>
      </c>
      <c r="K183" s="153">
        <f t="shared" si="104"/>
        <v>0</v>
      </c>
      <c r="L183" s="153">
        <f t="shared" si="104"/>
        <v>0</v>
      </c>
      <c r="M183" s="153">
        <f t="shared" si="104"/>
        <v>83175.659981860255</v>
      </c>
      <c r="N183" s="153">
        <f t="shared" si="104"/>
        <v>332703.91847797879</v>
      </c>
      <c r="O183" s="153">
        <f t="shared" si="104"/>
        <v>327689.24533517525</v>
      </c>
      <c r="P183" s="153">
        <f t="shared" si="104"/>
        <v>1087857.0748858659</v>
      </c>
      <c r="Q183" s="153">
        <f t="shared" si="104"/>
        <v>0</v>
      </c>
      <c r="R183" s="153">
        <f t="shared" si="104"/>
        <v>0</v>
      </c>
      <c r="S183" s="153">
        <f t="shared" si="104"/>
        <v>427341.4542205343</v>
      </c>
      <c r="T183" s="153">
        <f t="shared" si="104"/>
        <v>543285.9136876344</v>
      </c>
      <c r="U183" s="153">
        <f t="shared" si="104"/>
        <v>323148.44933510001</v>
      </c>
      <c r="V183" s="153">
        <f t="shared" si="104"/>
        <v>681163.01917396998</v>
      </c>
      <c r="W183" s="153">
        <f t="shared" si="104"/>
        <v>0</v>
      </c>
      <c r="X183" s="153">
        <f t="shared" si="104"/>
        <v>427341.4542205343</v>
      </c>
      <c r="Y183" s="153">
        <f t="shared" si="104"/>
        <v>543285.9136876344</v>
      </c>
      <c r="Z183" s="153">
        <f t="shared" si="104"/>
        <v>323148.44933510001</v>
      </c>
      <c r="AA183" s="153">
        <f t="shared" si="104"/>
        <v>681163.01917396998</v>
      </c>
      <c r="AB183" s="153">
        <f t="shared" si="104"/>
        <v>0</v>
      </c>
      <c r="AC183" s="153">
        <f t="shared" si="104"/>
        <v>188524.67482677934</v>
      </c>
      <c r="AD183" s="153">
        <f t="shared" si="104"/>
        <v>580026.77361878159</v>
      </c>
      <c r="AE183" s="153">
        <f t="shared" si="104"/>
        <v>396280.8404195474</v>
      </c>
      <c r="AF183" s="153">
        <f t="shared" si="104"/>
        <v>1057319.1657627686</v>
      </c>
      <c r="AG183" s="153">
        <f t="shared" si="104"/>
        <v>100800.08293841338</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c r="E185" t="s">
        <v>1025</v>
      </c>
      <c r="G185" t="s">
        <v>208</v>
      </c>
      <c r="J185" s="153">
        <f>J158*J183</f>
        <v>5203784.4182172129</v>
      </c>
      <c r="K185" s="153">
        <f t="shared" ref="K185:AO185" si="105">K158*K183</f>
        <v>0</v>
      </c>
      <c r="L185" s="153">
        <f t="shared" si="105"/>
        <v>0</v>
      </c>
      <c r="M185" s="153">
        <f t="shared" si="105"/>
        <v>83175.659981860255</v>
      </c>
      <c r="N185" s="153">
        <f t="shared" si="105"/>
        <v>332703.91847797879</v>
      </c>
      <c r="O185" s="153">
        <f t="shared" si="105"/>
        <v>327689.24533517525</v>
      </c>
      <c r="P185" s="153">
        <f t="shared" si="105"/>
        <v>1087857.0748858659</v>
      </c>
      <c r="Q185" s="153">
        <f t="shared" si="105"/>
        <v>0</v>
      </c>
      <c r="R185" s="153">
        <f t="shared" si="105"/>
        <v>0</v>
      </c>
      <c r="S185" s="153">
        <f t="shared" si="105"/>
        <v>393686.78300042369</v>
      </c>
      <c r="T185" s="153">
        <f t="shared" si="105"/>
        <v>460129.60671133304</v>
      </c>
      <c r="U185" s="153">
        <f t="shared" si="105"/>
        <v>236722.14105213701</v>
      </c>
      <c r="V185" s="153">
        <f t="shared" si="105"/>
        <v>329265.05250662798</v>
      </c>
      <c r="W185" s="153">
        <f t="shared" si="105"/>
        <v>0</v>
      </c>
      <c r="X185" s="153">
        <f t="shared" si="105"/>
        <v>33654.671220110547</v>
      </c>
      <c r="Y185" s="153">
        <f t="shared" si="105"/>
        <v>83156.306976301421</v>
      </c>
      <c r="Z185" s="153">
        <f t="shared" si="105"/>
        <v>86426.308282963015</v>
      </c>
      <c r="AA185" s="153">
        <f t="shared" si="105"/>
        <v>351897.96666734194</v>
      </c>
      <c r="AB185" s="153">
        <f t="shared" si="105"/>
        <v>0</v>
      </c>
      <c r="AC185" s="153">
        <f t="shared" si="105"/>
        <v>188524.67482677934</v>
      </c>
      <c r="AD185" s="153">
        <f t="shared" si="105"/>
        <v>580026.77361878159</v>
      </c>
      <c r="AE185" s="153">
        <f t="shared" si="105"/>
        <v>396280.8404195474</v>
      </c>
      <c r="AF185" s="153">
        <f t="shared" si="105"/>
        <v>1057319.1657627686</v>
      </c>
      <c r="AG185" s="153">
        <f t="shared" si="105"/>
        <v>100800.08293841338</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208</v>
      </c>
      <c r="H187" s="153">
        <f>SUM($J$185:$AO$185)</f>
        <v>11333100.690881623</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168</v>
      </c>
      <c r="J189" s="320">
        <f>J185/$H187</f>
        <v>0.45916687411098972</v>
      </c>
      <c r="K189" s="320">
        <f t="shared" ref="K189:AO189" si="106">K185/$H187</f>
        <v>0</v>
      </c>
      <c r="L189" s="320">
        <f t="shared" si="106"/>
        <v>0</v>
      </c>
      <c r="M189" s="320">
        <f t="shared" si="106"/>
        <v>7.3391794752853175E-3</v>
      </c>
      <c r="N189" s="320">
        <f t="shared" si="106"/>
        <v>2.935683071673981E-2</v>
      </c>
      <c r="O189" s="320">
        <f t="shared" si="106"/>
        <v>2.8914350474166985E-2</v>
      </c>
      <c r="P189" s="320">
        <f t="shared" si="106"/>
        <v>9.598935936050873E-2</v>
      </c>
      <c r="Q189" s="320">
        <f t="shared" si="106"/>
        <v>0</v>
      </c>
      <c r="R189" s="320">
        <f t="shared" si="106"/>
        <v>0</v>
      </c>
      <c r="S189" s="320">
        <f t="shared" si="106"/>
        <v>3.4737782160285217E-2</v>
      </c>
      <c r="T189" s="320">
        <f t="shared" si="106"/>
        <v>4.0600504598140894E-2</v>
      </c>
      <c r="U189" s="320">
        <f t="shared" si="106"/>
        <v>2.0887676506977364E-2</v>
      </c>
      <c r="V189" s="320">
        <f t="shared" si="106"/>
        <v>2.9053395137620879E-2</v>
      </c>
      <c r="W189" s="320">
        <f t="shared" si="106"/>
        <v>0</v>
      </c>
      <c r="X189" s="320">
        <f t="shared" si="106"/>
        <v>2.969590771146011E-3</v>
      </c>
      <c r="Y189" s="320">
        <f t="shared" si="106"/>
        <v>7.3374718220943057E-3</v>
      </c>
      <c r="Z189" s="320">
        <f t="shared" si="106"/>
        <v>7.6260072719992527E-3</v>
      </c>
      <c r="AA189" s="320">
        <f t="shared" si="106"/>
        <v>3.105045796958918E-2</v>
      </c>
      <c r="AB189" s="320">
        <f t="shared" si="106"/>
        <v>0</v>
      </c>
      <c r="AC189" s="320">
        <f t="shared" si="106"/>
        <v>1.663487160036109E-2</v>
      </c>
      <c r="AD189" s="320">
        <f t="shared" si="106"/>
        <v>5.1179883549914901E-2</v>
      </c>
      <c r="AE189" s="320">
        <f t="shared" si="106"/>
        <v>3.4966674278151144E-2</v>
      </c>
      <c r="AF189" s="320">
        <f t="shared" si="106"/>
        <v>9.3294782654976816E-2</v>
      </c>
      <c r="AG189" s="320">
        <f t="shared" si="106"/>
        <v>8.8943075410522938E-3</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278</v>
      </c>
      <c r="J191" s="153">
        <f>$H$85 * J189</f>
        <v>123631860.206017</v>
      </c>
      <c r="K191" s="153">
        <f t="shared" ref="K191:AO191" si="107">$H$85 * K189</f>
        <v>0</v>
      </c>
      <c r="L191" s="153">
        <f t="shared" si="107"/>
        <v>0</v>
      </c>
      <c r="M191" s="153">
        <f t="shared" si="107"/>
        <v>1976092.9241076254</v>
      </c>
      <c r="N191" s="153">
        <f t="shared" si="107"/>
        <v>7904402.0723201707</v>
      </c>
      <c r="O191" s="153">
        <f t="shared" si="107"/>
        <v>7785263.1305147456</v>
      </c>
      <c r="P191" s="153">
        <f t="shared" si="107"/>
        <v>25845381.552622572</v>
      </c>
      <c r="Q191" s="153">
        <f t="shared" si="107"/>
        <v>0</v>
      </c>
      <c r="R191" s="153">
        <f t="shared" si="107"/>
        <v>0</v>
      </c>
      <c r="S191" s="153">
        <f t="shared" si="107"/>
        <v>9353237.0692519508</v>
      </c>
      <c r="T191" s="153">
        <f t="shared" si="107"/>
        <v>10931790.143811177</v>
      </c>
      <c r="U191" s="153">
        <f t="shared" si="107"/>
        <v>5624060.5486599579</v>
      </c>
      <c r="V191" s="153">
        <f t="shared" si="107"/>
        <v>7822701.2632803274</v>
      </c>
      <c r="W191" s="153">
        <f t="shared" si="107"/>
        <v>0</v>
      </c>
      <c r="X191" s="153">
        <f t="shared" si="107"/>
        <v>799569.94240542233</v>
      </c>
      <c r="Y191" s="153">
        <f t="shared" si="107"/>
        <v>1975633.134099907</v>
      </c>
      <c r="Z191" s="153">
        <f t="shared" si="107"/>
        <v>2053322.0450785023</v>
      </c>
      <c r="AA191" s="153">
        <f t="shared" si="107"/>
        <v>8360415.5601632874</v>
      </c>
      <c r="AB191" s="153">
        <f t="shared" si="107"/>
        <v>0</v>
      </c>
      <c r="AC191" s="153">
        <f t="shared" si="107"/>
        <v>4478981.9043953149</v>
      </c>
      <c r="AD191" s="153">
        <f t="shared" si="107"/>
        <v>13780315.099285308</v>
      </c>
      <c r="AE191" s="153">
        <f t="shared" si="107"/>
        <v>9414866.8598875422</v>
      </c>
      <c r="AF191" s="153">
        <f t="shared" si="107"/>
        <v>25119859.853746302</v>
      </c>
      <c r="AG191" s="153">
        <f t="shared" si="107"/>
        <v>2394815.1500992212</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155</v>
      </c>
      <c r="J197" s="153">
        <f t="shared" ref="J197:AO197" si="108">IF(J33, J191/J154, 0)</f>
        <v>80.539383215104436</v>
      </c>
      <c r="K197" s="153">
        <f t="shared" si="108"/>
        <v>0</v>
      </c>
      <c r="L197" s="153">
        <f t="shared" si="108"/>
        <v>0</v>
      </c>
      <c r="M197" s="153">
        <f t="shared" si="108"/>
        <v>30.144412382715053</v>
      </c>
      <c r="N197" s="153">
        <f t="shared" si="108"/>
        <v>177.88777493751726</v>
      </c>
      <c r="O197" s="153">
        <f t="shared" si="108"/>
        <v>426.73517562849128</v>
      </c>
      <c r="P197" s="153">
        <f t="shared" si="108"/>
        <v>1391.7552422186636</v>
      </c>
      <c r="Q197" s="153">
        <f t="shared" si="108"/>
        <v>0</v>
      </c>
      <c r="R197" s="153">
        <f t="shared" si="108"/>
        <v>0</v>
      </c>
      <c r="S197" s="153">
        <f t="shared" si="108"/>
        <v>2323.5971945639299</v>
      </c>
      <c r="T197" s="153">
        <f t="shared" si="108"/>
        <v>4230.1810109672688</v>
      </c>
      <c r="U197" s="153">
        <f t="shared" si="108"/>
        <v>6538.3928427708761</v>
      </c>
      <c r="V197" s="153">
        <f t="shared" si="108"/>
        <v>13901.945248926104</v>
      </c>
      <c r="W197" s="153">
        <f t="shared" si="108"/>
        <v>0</v>
      </c>
      <c r="X197" s="153">
        <f t="shared" si="108"/>
        <v>2323.5971945639303</v>
      </c>
      <c r="Y197" s="153">
        <f t="shared" si="108"/>
        <v>4230.1810109672688</v>
      </c>
      <c r="Z197" s="153">
        <f t="shared" si="108"/>
        <v>6538.3928427708761</v>
      </c>
      <c r="AA197" s="153">
        <f t="shared" si="108"/>
        <v>13901.945248926106</v>
      </c>
      <c r="AB197" s="153">
        <f t="shared" si="108"/>
        <v>0</v>
      </c>
      <c r="AC197" s="153">
        <f t="shared" si="108"/>
        <v>13799.913695154857</v>
      </c>
      <c r="AD197" s="153">
        <f t="shared" si="108"/>
        <v>34156.826978481084</v>
      </c>
      <c r="AE197" s="153">
        <f t="shared" si="108"/>
        <v>75728.055528639685</v>
      </c>
      <c r="AF197" s="153">
        <f t="shared" si="108"/>
        <v>191467.18884687728</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271</v>
      </c>
      <c r="I199" t="s">
        <v>155</v>
      </c>
      <c r="J199" s="153">
        <f t="shared" ref="J199:AO199" si="109">J197 * hundred / days_in_year</f>
        <v>22.065584442494366</v>
      </c>
      <c r="K199" s="153">
        <f t="shared" si="109"/>
        <v>0</v>
      </c>
      <c r="L199" s="153">
        <f t="shared" si="109"/>
        <v>0</v>
      </c>
      <c r="M199" s="153">
        <f t="shared" si="109"/>
        <v>8.2587431185520703</v>
      </c>
      <c r="N199" s="153">
        <f t="shared" si="109"/>
        <v>48.736376695210211</v>
      </c>
      <c r="O199" s="153">
        <f t="shared" si="109"/>
        <v>116.91374674753186</v>
      </c>
      <c r="P199" s="153">
        <f t="shared" si="109"/>
        <v>381.3028060873051</v>
      </c>
      <c r="Q199" s="153">
        <f t="shared" si="109"/>
        <v>0</v>
      </c>
      <c r="R199" s="153">
        <f t="shared" si="109"/>
        <v>0</v>
      </c>
      <c r="S199" s="153">
        <f t="shared" si="109"/>
        <v>636.6019711134054</v>
      </c>
      <c r="T199" s="153">
        <f t="shared" si="109"/>
        <v>1158.9537016348681</v>
      </c>
      <c r="U199" s="153">
        <f t="shared" si="109"/>
        <v>1791.3405048687332</v>
      </c>
      <c r="V199" s="153">
        <f t="shared" si="109"/>
        <v>3808.7521229934532</v>
      </c>
      <c r="W199" s="153">
        <f t="shared" si="109"/>
        <v>0</v>
      </c>
      <c r="X199" s="153">
        <f t="shared" si="109"/>
        <v>636.60197111340563</v>
      </c>
      <c r="Y199" s="153">
        <f t="shared" si="109"/>
        <v>1158.9537016348681</v>
      </c>
      <c r="Z199" s="153">
        <f t="shared" si="109"/>
        <v>1791.3405048687332</v>
      </c>
      <c r="AA199" s="153">
        <f t="shared" si="109"/>
        <v>3808.7521229934532</v>
      </c>
      <c r="AB199" s="153">
        <f t="shared" si="109"/>
        <v>0</v>
      </c>
      <c r="AC199" s="153">
        <f t="shared" si="109"/>
        <v>3780.798272645166</v>
      </c>
      <c r="AD199" s="153">
        <f t="shared" si="109"/>
        <v>9358.0347886249547</v>
      </c>
      <c r="AE199" s="153">
        <f t="shared" si="109"/>
        <v>20747.412473599914</v>
      </c>
      <c r="AF199" s="153">
        <f t="shared" si="109"/>
        <v>52456.764067637618</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155</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23.758067258361287</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25">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25">
      <c r="C208" s="24"/>
      <c r="E208" t="s">
        <v>934</v>
      </c>
      <c r="G208" t="s">
        <v>270</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2.3758067258361288</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155</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271</v>
      </c>
      <c r="J223" s="153">
        <f t="array" ref="J223">MIN(IF($J150:$AO150=J150,$J43:$AO43+$J48:$AO48))</f>
        <v>7.3580942189360954</v>
      </c>
      <c r="K223" s="153">
        <f t="array" ref="K223">MIN(IF($J150:$AO150=K150,$J43:$AO43+$J48:$AO48))</f>
        <v>0</v>
      </c>
      <c r="L223" s="153">
        <f t="array" ref="L223">MIN(IF($J150:$AO150=L150,$J43:$AO43+$J48:$AO48))</f>
        <v>0</v>
      </c>
      <c r="M223" s="153">
        <f t="array" ref="M223">MIN(IF($J150:$AO150=M150,$J43:$AO43+$J48:$AO48))</f>
        <v>12.638103286501224</v>
      </c>
      <c r="N223" s="153">
        <f t="array" ref="N223">MIN(IF($J150:$AO150=N150,$J43:$AO43+$J48:$AO48))</f>
        <v>12.638103286501224</v>
      </c>
      <c r="O223" s="153">
        <f t="array" ref="O223">MIN(IF($J150:$AO150=O150,$J43:$AO43+$J48:$AO48))</f>
        <v>12.638103286501224</v>
      </c>
      <c r="P223" s="153">
        <f t="array" ref="P223">MIN(IF($J150:$AO150=P150,$J43:$AO43+$J48:$AO48))</f>
        <v>12.638103286501224</v>
      </c>
      <c r="Q223" s="153">
        <f t="array" ref="Q223">MIN(IF($J150:$AO150=Q150,$J43:$AO43+$J48:$AO48))</f>
        <v>0</v>
      </c>
      <c r="R223" s="153">
        <f t="array" ref="R223">MIN(IF($J150:$AO150=R150,$J43:$AO43+$J48:$AO48))</f>
        <v>0</v>
      </c>
      <c r="S223" s="153">
        <f t="array" ref="S223">MIN(IF($J150:$AO150=S150,$J43:$AO43+$J48:$AO48))</f>
        <v>13.657769639608098</v>
      </c>
      <c r="T223" s="153">
        <f t="array" ref="T223">MIN(IF($J150:$AO150=T150,$J43:$AO43+$J48:$AO48))</f>
        <v>13.657769639608098</v>
      </c>
      <c r="U223" s="153">
        <f t="array" ref="U223">MIN(IF($J150:$AO150=U150,$J43:$AO43+$J48:$AO48))</f>
        <v>13.657769639608098</v>
      </c>
      <c r="V223" s="153">
        <f t="array" ref="V223">MIN(IF($J150:$AO150=V150,$J43:$AO43+$J48:$AO48))</f>
        <v>13.657769639608098</v>
      </c>
      <c r="W223" s="153">
        <f t="array" ref="W223">MIN(IF($J150:$AO150=W150,$J43:$AO43+$J48:$AO48))</f>
        <v>0</v>
      </c>
      <c r="X223" s="153">
        <f t="array" ref="X223">MIN(IF($J150:$AO150=X150,$J43:$AO43+$J48:$AO48))</f>
        <v>13.657769639608098</v>
      </c>
      <c r="Y223" s="153">
        <f t="array" ref="Y223">MIN(IF($J150:$AO150=Y150,$J43:$AO43+$J48:$AO48))</f>
        <v>13.657769639608098</v>
      </c>
      <c r="Z223" s="153">
        <f t="array" ref="Z223">MIN(IF($J150:$AO150=Z150,$J43:$AO43+$J48:$AO48))</f>
        <v>13.657769639608098</v>
      </c>
      <c r="AA223" s="153">
        <f t="array" ref="AA223">MIN(IF($J150:$AO150=AA150,$J43:$AO43+$J48:$AO48))</f>
        <v>13.657769639608098</v>
      </c>
      <c r="AB223" s="153">
        <f t="array" ref="AB223">MIN(IF($J150:$AO150=AB150,$J43:$AO43+$J48:$AO48))</f>
        <v>0</v>
      </c>
      <c r="AC223" s="153">
        <f t="array" ref="AC223">MIN(IF($J150:$AO150=AC150,$J43:$AO43+$J48:$AO48))</f>
        <v>120.17301420750368</v>
      </c>
      <c r="AD223" s="153">
        <f t="array" ref="AD223">MIN(IF($J150:$AO150=AD150,$J43:$AO43+$J48:$AO48))</f>
        <v>120.17301420750368</v>
      </c>
      <c r="AE223" s="153">
        <f t="array" ref="AE223">MIN(IF($J150:$AO150=AE150,$J43:$AO43+$J48:$AO48))</f>
        <v>120.17301420750368</v>
      </c>
      <c r="AF223" s="153">
        <f t="array" ref="AF223">MIN(IF($J150:$AO150=AF150,$J43:$AO43+$J48:$AO48))</f>
        <v>120.17301420750368</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271</v>
      </c>
      <c r="J225" s="153">
        <f>MAX(-J223,J199)</f>
        <v>22.065584442494366</v>
      </c>
      <c r="K225" s="153">
        <f t="shared" ref="K225:AO225" si="112">MAX(-K223,K199)</f>
        <v>0</v>
      </c>
      <c r="L225" s="153">
        <f t="shared" si="112"/>
        <v>0</v>
      </c>
      <c r="M225" s="153">
        <f t="shared" si="112"/>
        <v>8.2587431185520703</v>
      </c>
      <c r="N225" s="153">
        <f t="shared" si="112"/>
        <v>48.736376695210211</v>
      </c>
      <c r="O225" s="153">
        <f t="shared" si="112"/>
        <v>116.91374674753186</v>
      </c>
      <c r="P225" s="153">
        <f t="shared" si="112"/>
        <v>381.3028060873051</v>
      </c>
      <c r="Q225" s="153">
        <f t="shared" si="112"/>
        <v>0</v>
      </c>
      <c r="R225" s="153">
        <f t="shared" si="112"/>
        <v>0</v>
      </c>
      <c r="S225" s="153">
        <f t="shared" si="112"/>
        <v>636.6019711134054</v>
      </c>
      <c r="T225" s="153">
        <f t="shared" si="112"/>
        <v>1158.9537016348681</v>
      </c>
      <c r="U225" s="153">
        <f t="shared" si="112"/>
        <v>1791.3405048687332</v>
      </c>
      <c r="V225" s="153">
        <f t="shared" si="112"/>
        <v>3808.7521229934532</v>
      </c>
      <c r="W225" s="153">
        <f t="shared" si="112"/>
        <v>0</v>
      </c>
      <c r="X225" s="153">
        <f t="shared" si="112"/>
        <v>636.60197111340563</v>
      </c>
      <c r="Y225" s="153">
        <f t="shared" si="112"/>
        <v>1158.9537016348681</v>
      </c>
      <c r="Z225" s="153">
        <f t="shared" si="112"/>
        <v>1791.3405048687332</v>
      </c>
      <c r="AA225" s="153">
        <f t="shared" si="112"/>
        <v>3808.7521229934532</v>
      </c>
      <c r="AB225" s="153">
        <f t="shared" si="112"/>
        <v>0</v>
      </c>
      <c r="AC225" s="153">
        <f t="shared" si="112"/>
        <v>3780.798272645166</v>
      </c>
      <c r="AD225" s="153">
        <f t="shared" si="112"/>
        <v>9358.0347886249547</v>
      </c>
      <c r="AE225" s="153">
        <f t="shared" si="112"/>
        <v>20747.412473599914</v>
      </c>
      <c r="AF225" s="153">
        <f t="shared" si="112"/>
        <v>52456.764067637618</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271</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155</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82"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150</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150</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150</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270</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25">
      <c r="C251" s="24"/>
      <c r="F251" t="s">
        <v>1057</v>
      </c>
      <c r="G251" t="s">
        <v>270</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25">
      <c r="C252" s="24"/>
      <c r="F252" s="28" t="s">
        <v>1058</v>
      </c>
      <c r="G252" s="28" t="s">
        <v>270</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155</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270</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25">
      <c r="C259" s="24"/>
      <c r="F259" t="s">
        <v>1057</v>
      </c>
      <c r="G259" t="s">
        <v>270</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25">
      <c r="C260" s="24"/>
      <c r="F260" s="28" t="s">
        <v>1058</v>
      </c>
      <c r="G260" s="28" t="s">
        <v>270</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270</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25">
      <c r="C264" s="24"/>
      <c r="F264" t="s">
        <v>1057</v>
      </c>
      <c r="G264" t="s">
        <v>270</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25">
      <c r="C265" s="24"/>
      <c r="F265" s="28" t="s">
        <v>1058</v>
      </c>
      <c r="G265" s="28" t="s">
        <v>270</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150</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25">
      <c r="C269" s="24"/>
      <c r="F269" t="s">
        <v>1057</v>
      </c>
      <c r="G269" t="s">
        <v>150</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25">
      <c r="C270" s="24"/>
      <c r="F270" s="28" t="s">
        <v>1058</v>
      </c>
      <c r="G270" s="28" t="s">
        <v>150</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208</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25">
      <c r="C274" s="24"/>
      <c r="F274" t="s">
        <v>1057</v>
      </c>
      <c r="G274" t="s">
        <v>208</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208</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208</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25">
      <c r="C279" s="24"/>
      <c r="F279" t="s">
        <v>1057</v>
      </c>
      <c r="G279" t="s">
        <v>208</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208</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208</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25">
      <c r="C284" s="24"/>
      <c r="F284" t="s">
        <v>1057</v>
      </c>
      <c r="G284" t="s">
        <v>208</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208</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155</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82" t="s">
        <v>1074</v>
      </c>
      <c r="G299" t="s">
        <v>208</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208</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208</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270</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155</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389"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82" t="s">
        <v>1084</v>
      </c>
      <c r="G331" t="s">
        <v>208</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208</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208</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82" t="s">
        <v>1085</v>
      </c>
      <c r="G337" t="s">
        <v>270</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155</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389"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82" t="s">
        <v>1084</v>
      </c>
      <c r="G363" t="s">
        <v>208</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208</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208</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270</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25">
      <c r="C373" s="24"/>
      <c r="F373" t="s">
        <v>1057</v>
      </c>
      <c r="G373" t="s">
        <v>907</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25">
      <c r="C374" s="24"/>
      <c r="F374" s="28" t="s">
        <v>1058</v>
      </c>
      <c r="G374" s="28" t="s">
        <v>907</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155</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25">
      <c r="C386" s="24"/>
      <c r="F386" t="s">
        <v>1098</v>
      </c>
      <c r="G386" t="s">
        <v>907</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25">
      <c r="C387" s="24"/>
      <c r="F387" s="28" t="s">
        <v>1099</v>
      </c>
      <c r="G387" s="28" t="s">
        <v>907</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150</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25">
      <c r="C391" s="24"/>
      <c r="E391" s="27" t="s">
        <v>1101</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25">
      <c r="C392" s="24"/>
      <c r="F392" s="19" t="s">
        <v>1097</v>
      </c>
      <c r="G392" s="19" t="s">
        <v>907</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25">
      <c r="C393" s="24"/>
      <c r="F393" t="s">
        <v>1098</v>
      </c>
      <c r="G393" t="s">
        <v>907</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25">
      <c r="C394" s="24"/>
      <c r="F394" s="28" t="s">
        <v>1099</v>
      </c>
      <c r="G394" s="28" t="s">
        <v>907</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25">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25">
      <c r="C396" s="24"/>
      <c r="E396" s="382" t="s">
        <v>1102</v>
      </c>
      <c r="G396" t="s">
        <v>270</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270</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25">
      <c r="C400" s="24"/>
      <c r="F400" t="s">
        <v>1057</v>
      </c>
      <c r="G400" t="s">
        <v>270</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25">
      <c r="C401" s="24"/>
      <c r="F401" s="28" t="s">
        <v>1058</v>
      </c>
      <c r="G401" s="28" t="s">
        <v>270</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157</v>
      </c>
      <c r="G404" s="19" t="s">
        <v>270</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25">
      <c r="C405" s="24"/>
      <c r="F405" t="s">
        <v>158</v>
      </c>
      <c r="G405" t="s">
        <v>270</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25">
      <c r="C406" s="24"/>
      <c r="F406" s="28" t="s">
        <v>159</v>
      </c>
      <c r="G406" s="28" t="s">
        <v>270</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157</v>
      </c>
      <c r="G413" s="19" t="s">
        <v>270</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2.3758067258361288</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158</v>
      </c>
      <c r="G414" t="s">
        <v>270</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2.3758067258361288</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159</v>
      </c>
      <c r="G415" t="s">
        <v>270</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2.3758067258361288</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160</v>
      </c>
      <c r="G416" t="s">
        <v>271</v>
      </c>
      <c r="J416" s="189">
        <f t="shared" ref="J416:AO416" si="173">J225</f>
        <v>22.065584442494366</v>
      </c>
      <c r="K416" s="189">
        <f t="shared" si="173"/>
        <v>0</v>
      </c>
      <c r="L416" s="189">
        <f t="shared" si="173"/>
        <v>0</v>
      </c>
      <c r="M416" s="189">
        <f t="shared" si="173"/>
        <v>8.2587431185520703</v>
      </c>
      <c r="N416" s="189">
        <f t="shared" si="173"/>
        <v>48.736376695210211</v>
      </c>
      <c r="O416" s="189">
        <f t="shared" si="173"/>
        <v>116.91374674753186</v>
      </c>
      <c r="P416" s="189">
        <f t="shared" si="173"/>
        <v>381.3028060873051</v>
      </c>
      <c r="Q416" s="189">
        <f t="shared" si="173"/>
        <v>0</v>
      </c>
      <c r="R416" s="189">
        <f t="shared" si="173"/>
        <v>0</v>
      </c>
      <c r="S416" s="189">
        <f t="shared" si="173"/>
        <v>636.6019711134054</v>
      </c>
      <c r="T416" s="189">
        <f t="shared" si="173"/>
        <v>1158.9537016348681</v>
      </c>
      <c r="U416" s="189">
        <f t="shared" si="173"/>
        <v>1791.3405048687332</v>
      </c>
      <c r="V416" s="189">
        <f t="shared" si="173"/>
        <v>3808.7521229934532</v>
      </c>
      <c r="W416" s="189">
        <f t="shared" si="173"/>
        <v>0</v>
      </c>
      <c r="X416" s="189">
        <f t="shared" si="173"/>
        <v>636.60197111340563</v>
      </c>
      <c r="Y416" s="189">
        <f t="shared" si="173"/>
        <v>1158.9537016348681</v>
      </c>
      <c r="Z416" s="189">
        <f t="shared" si="173"/>
        <v>1791.3405048687332</v>
      </c>
      <c r="AA416" s="189">
        <f t="shared" si="173"/>
        <v>3808.7521229934532</v>
      </c>
      <c r="AB416" s="189">
        <f t="shared" si="173"/>
        <v>0</v>
      </c>
      <c r="AC416" s="189">
        <f t="shared" si="173"/>
        <v>3780.798272645166</v>
      </c>
      <c r="AD416" s="189">
        <f t="shared" si="173"/>
        <v>9358.0347886249547</v>
      </c>
      <c r="AE416" s="189">
        <f t="shared" si="173"/>
        <v>20747.412473599914</v>
      </c>
      <c r="AF416" s="189">
        <f t="shared" si="173"/>
        <v>52456.764067637618</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161</v>
      </c>
      <c r="G417" t="s">
        <v>272</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162</v>
      </c>
      <c r="G418" t="s">
        <v>272</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163</v>
      </c>
      <c r="G419" s="28" t="s">
        <v>273</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232</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56</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233</v>
      </c>
      <c r="G431" s="6" t="s">
        <v>56</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56</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107</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157</v>
      </c>
      <c r="G20" s="19" t="s">
        <v>270</v>
      </c>
      <c r="H20" s="267"/>
      <c r="I20" s="255"/>
      <c r="J20" s="267">
        <f>'Revenue matching'!J40</f>
        <v>15.165099534575806</v>
      </c>
      <c r="K20" s="267">
        <f>'Revenue matching'!K40</f>
        <v>15.165099534575806</v>
      </c>
      <c r="L20" s="267">
        <f>'Revenue matching'!L40</f>
        <v>16.257004512876239</v>
      </c>
      <c r="M20" s="267">
        <f>'Revenue matching'!M40</f>
        <v>16.257004512876239</v>
      </c>
      <c r="N20" s="267">
        <f>'Revenue matching'!N40</f>
        <v>16.257004512876239</v>
      </c>
      <c r="O20" s="267">
        <f>'Revenue matching'!O40</f>
        <v>16.257004512876239</v>
      </c>
      <c r="P20" s="267">
        <f>'Revenue matching'!P40</f>
        <v>16.257004512876239</v>
      </c>
      <c r="Q20" s="267">
        <f>'Revenue matching'!Q40</f>
        <v>16.257004512876239</v>
      </c>
      <c r="R20" s="267">
        <f>'Revenue matching'!R40</f>
        <v>10.983038407396837</v>
      </c>
      <c r="S20" s="267">
        <f>'Revenue matching'!S40</f>
        <v>10.983038407396837</v>
      </c>
      <c r="T20" s="267">
        <f>'Revenue matching'!T40</f>
        <v>10.983038407396837</v>
      </c>
      <c r="U20" s="267">
        <f>'Revenue matching'!U40</f>
        <v>10.983038407396837</v>
      </c>
      <c r="V20" s="267">
        <f>'Revenue matching'!V40</f>
        <v>10.983038407396837</v>
      </c>
      <c r="W20" s="267">
        <f>'Revenue matching'!W40</f>
        <v>8.013422834799643</v>
      </c>
      <c r="X20" s="267">
        <f>'Revenue matching'!X40</f>
        <v>8.013422834799643</v>
      </c>
      <c r="Y20" s="267">
        <f>'Revenue matching'!Y40</f>
        <v>8.013422834799643</v>
      </c>
      <c r="Z20" s="267">
        <f>'Revenue matching'!Z40</f>
        <v>8.013422834799643</v>
      </c>
      <c r="AA20" s="267">
        <f>'Revenue matching'!AA40</f>
        <v>8.013422834799643</v>
      </c>
      <c r="AB20" s="267">
        <f>'Revenue matching'!AB40</f>
        <v>5.646996018679137</v>
      </c>
      <c r="AC20" s="267">
        <f>'Revenue matching'!AC40</f>
        <v>5.646996018679137</v>
      </c>
      <c r="AD20" s="267">
        <f>'Revenue matching'!AD40</f>
        <v>5.646996018679137</v>
      </c>
      <c r="AE20" s="267">
        <f>'Revenue matching'!AE40</f>
        <v>5.646996018679137</v>
      </c>
      <c r="AF20" s="267">
        <f>'Revenue matching'!AF40</f>
        <v>5.646996018679137</v>
      </c>
      <c r="AG20" s="267">
        <f>'Revenue matching'!AG40</f>
        <v>41.835053862971357</v>
      </c>
      <c r="AH20" s="267">
        <f>'Revenue matching'!AH40</f>
        <v>-10.399682892504964</v>
      </c>
      <c r="AI20" s="267">
        <f>'Revenue matching'!AI40</f>
        <v>-9.3206261710908951</v>
      </c>
      <c r="AJ20" s="267">
        <f>'Revenue matching'!AJ40</f>
        <v>-10.399682892504964</v>
      </c>
      <c r="AK20" s="267">
        <f>'Revenue matching'!AK40</f>
        <v>-10.399682892504964</v>
      </c>
      <c r="AL20" s="267">
        <f>'Revenue matching'!AL40</f>
        <v>-9.3206261710908951</v>
      </c>
      <c r="AM20" s="267">
        <f>'Revenue matching'!AM40</f>
        <v>-9.3206261710908951</v>
      </c>
      <c r="AN20" s="267">
        <f>'Revenue matching'!AN40</f>
        <v>-5.9269683096045114</v>
      </c>
      <c r="AO20" s="267">
        <f>'Revenue matching'!AO40</f>
        <v>-5.9269683096045114</v>
      </c>
      <c r="AP20" s="256"/>
      <c r="AQ20" s="256"/>
    </row>
    <row r="21" spans="3:43" x14ac:dyDescent="0.25">
      <c r="C21" s="78"/>
      <c r="F21" t="s">
        <v>158</v>
      </c>
      <c r="G21" t="s">
        <v>270</v>
      </c>
      <c r="H21" s="268"/>
      <c r="I21" s="256"/>
      <c r="J21" s="268">
        <f>'Revenue matching'!J41</f>
        <v>0.75809611326930659</v>
      </c>
      <c r="K21" s="268">
        <f>'Revenue matching'!K41</f>
        <v>0.75809611326930659</v>
      </c>
      <c r="L21" s="268">
        <f>'Revenue matching'!L41</f>
        <v>0.81267992382865617</v>
      </c>
      <c r="M21" s="268">
        <f>'Revenue matching'!M41</f>
        <v>0.81267992382865617</v>
      </c>
      <c r="N21" s="268">
        <f>'Revenue matching'!N41</f>
        <v>0.81267992382865617</v>
      </c>
      <c r="O21" s="268">
        <f>'Revenue matching'!O41</f>
        <v>0.81267992382865617</v>
      </c>
      <c r="P21" s="268">
        <f>'Revenue matching'!P41</f>
        <v>0.81267992382865617</v>
      </c>
      <c r="Q21" s="268">
        <f>'Revenue matching'!Q41</f>
        <v>0.81267992382865617</v>
      </c>
      <c r="R21" s="268">
        <f>'Revenue matching'!R41</f>
        <v>0.49946772809417317</v>
      </c>
      <c r="S21" s="268">
        <f>'Revenue matching'!S41</f>
        <v>0.49946772809417317</v>
      </c>
      <c r="T21" s="268">
        <f>'Revenue matching'!T41</f>
        <v>0.49946772809417317</v>
      </c>
      <c r="U21" s="268">
        <f>'Revenue matching'!U41</f>
        <v>0.49946772809417317</v>
      </c>
      <c r="V21" s="268">
        <f>'Revenue matching'!V41</f>
        <v>0.49946772809417317</v>
      </c>
      <c r="W21" s="268">
        <f>'Revenue matching'!W41</f>
        <v>0.28526570901067577</v>
      </c>
      <c r="X21" s="268">
        <f>'Revenue matching'!X41</f>
        <v>0.28526570901067577</v>
      </c>
      <c r="Y21" s="268">
        <f>'Revenue matching'!Y41</f>
        <v>0.28526570901067577</v>
      </c>
      <c r="Z21" s="268">
        <f>'Revenue matching'!Z41</f>
        <v>0.28526570901067577</v>
      </c>
      <c r="AA21" s="268">
        <f>'Revenue matching'!AA41</f>
        <v>0.28526570901067577</v>
      </c>
      <c r="AB21" s="268">
        <f>'Revenue matching'!AB41</f>
        <v>0.15258463627516752</v>
      </c>
      <c r="AC21" s="268">
        <f>'Revenue matching'!AC41</f>
        <v>0.15258463627516752</v>
      </c>
      <c r="AD21" s="268">
        <f>'Revenue matching'!AD41</f>
        <v>0.15258463627516752</v>
      </c>
      <c r="AE21" s="268">
        <f>'Revenue matching'!AE41</f>
        <v>0.15258463627516752</v>
      </c>
      <c r="AF21" s="268">
        <f>'Revenue matching'!AF41</f>
        <v>0.15258463627516752</v>
      </c>
      <c r="AG21" s="268">
        <f>'Revenue matching'!AG41</f>
        <v>2.1179781070660906</v>
      </c>
      <c r="AH21" s="268">
        <f>'Revenue matching'!AH41</f>
        <v>-0.51987520174636581</v>
      </c>
      <c r="AI21" s="268">
        <f>'Revenue matching'!AI41</f>
        <v>-0.44045574218544947</v>
      </c>
      <c r="AJ21" s="268">
        <f>'Revenue matching'!AJ41</f>
        <v>-0.51987520174636581</v>
      </c>
      <c r="AK21" s="268">
        <f>'Revenue matching'!AK41</f>
        <v>-0.51987520174636581</v>
      </c>
      <c r="AL21" s="268">
        <f>'Revenue matching'!AL41</f>
        <v>-0.44045574218544947</v>
      </c>
      <c r="AM21" s="268">
        <f>'Revenue matching'!AM41</f>
        <v>-0.44045574218544947</v>
      </c>
      <c r="AN21" s="268">
        <f>'Revenue matching'!AN41</f>
        <v>-0.19140970918040676</v>
      </c>
      <c r="AO21" s="268">
        <f>'Revenue matching'!AO41</f>
        <v>-0.19140970918040676</v>
      </c>
      <c r="AP21" s="256"/>
      <c r="AQ21" s="256"/>
    </row>
    <row r="22" spans="3:43" x14ac:dyDescent="0.25">
      <c r="C22" s="78"/>
      <c r="F22" t="s">
        <v>159</v>
      </c>
      <c r="G22" t="s">
        <v>270</v>
      </c>
      <c r="H22" s="268"/>
      <c r="I22" s="256"/>
      <c r="J22" s="268">
        <f>'Revenue matching'!J42</f>
        <v>5.3613031602575995E-2</v>
      </c>
      <c r="K22" s="268">
        <f>'Revenue matching'!K42</f>
        <v>5.3613031602575995E-2</v>
      </c>
      <c r="L22" s="268">
        <f>'Revenue matching'!L42</f>
        <v>5.7473232847886774E-2</v>
      </c>
      <c r="M22" s="268">
        <f>'Revenue matching'!M42</f>
        <v>5.7473232847886774E-2</v>
      </c>
      <c r="N22" s="268">
        <f>'Revenue matching'!N42</f>
        <v>5.7473232847886774E-2</v>
      </c>
      <c r="O22" s="268">
        <f>'Revenue matching'!O42</f>
        <v>5.7473232847886774E-2</v>
      </c>
      <c r="P22" s="268">
        <f>'Revenue matching'!P42</f>
        <v>5.7473232847886774E-2</v>
      </c>
      <c r="Q22" s="268">
        <f>'Revenue matching'!Q42</f>
        <v>5.7473232847886774E-2</v>
      </c>
      <c r="R22" s="268">
        <f>'Revenue matching'!R42</f>
        <v>3.3558949876465571E-2</v>
      </c>
      <c r="S22" s="268">
        <f>'Revenue matching'!S42</f>
        <v>3.3558949876465571E-2</v>
      </c>
      <c r="T22" s="268">
        <f>'Revenue matching'!T42</f>
        <v>3.3558949876465571E-2</v>
      </c>
      <c r="U22" s="268">
        <f>'Revenue matching'!U42</f>
        <v>3.3558949876465571E-2</v>
      </c>
      <c r="V22" s="268">
        <f>'Revenue matching'!V42</f>
        <v>3.3558949876465571E-2</v>
      </c>
      <c r="W22" s="268">
        <f>'Revenue matching'!W42</f>
        <v>1.6070913442792111E-2</v>
      </c>
      <c r="X22" s="268">
        <f>'Revenue matching'!X42</f>
        <v>1.6070913442792111E-2</v>
      </c>
      <c r="Y22" s="268">
        <f>'Revenue matching'!Y42</f>
        <v>1.6070913442792111E-2</v>
      </c>
      <c r="Z22" s="268">
        <f>'Revenue matching'!Z42</f>
        <v>1.6070913442792111E-2</v>
      </c>
      <c r="AA22" s="268">
        <f>'Revenue matching'!AA42</f>
        <v>1.6070913442792111E-2</v>
      </c>
      <c r="AB22" s="268">
        <f>'Revenue matching'!AB42</f>
        <v>6.2032080266167114E-3</v>
      </c>
      <c r="AC22" s="268">
        <f>'Revenue matching'!AC42</f>
        <v>6.2032080266167114E-3</v>
      </c>
      <c r="AD22" s="268">
        <f>'Revenue matching'!AD42</f>
        <v>6.2032080266167114E-3</v>
      </c>
      <c r="AE22" s="268">
        <f>'Revenue matching'!AE42</f>
        <v>6.2032080266167114E-3</v>
      </c>
      <c r="AF22" s="268">
        <f>'Revenue matching'!AF42</f>
        <v>6.2032080266167114E-3</v>
      </c>
      <c r="AG22" s="268">
        <f>'Revenue matching'!AG42</f>
        <v>1.2251702542152194</v>
      </c>
      <c r="AH22" s="268">
        <f>'Revenue matching'!AH42</f>
        <v>-3.6765899643548476E-2</v>
      </c>
      <c r="AI22" s="268">
        <f>'Revenue matching'!AI42</f>
        <v>-3.0242775141836327E-2</v>
      </c>
      <c r="AJ22" s="268">
        <f>'Revenue matching'!AJ42</f>
        <v>-3.6765899643548476E-2</v>
      </c>
      <c r="AK22" s="268">
        <f>'Revenue matching'!AK42</f>
        <v>-3.6765899643548476E-2</v>
      </c>
      <c r="AL22" s="268">
        <f>'Revenue matching'!AL42</f>
        <v>-3.0242775141836327E-2</v>
      </c>
      <c r="AM22" s="268">
        <f>'Revenue matching'!AM42</f>
        <v>-3.0242775141836327E-2</v>
      </c>
      <c r="AN22" s="268">
        <f>'Revenue matching'!AN42</f>
        <v>-9.8307406073596861E-3</v>
      </c>
      <c r="AO22" s="268">
        <f>'Revenue matching'!AO42</f>
        <v>-9.8307406073596861E-3</v>
      </c>
      <c r="AP22" s="256"/>
      <c r="AQ22" s="256"/>
    </row>
    <row r="23" spans="3:43" x14ac:dyDescent="0.25">
      <c r="C23" s="78"/>
      <c r="F23" t="s">
        <v>160</v>
      </c>
      <c r="G23" t="s">
        <v>271</v>
      </c>
      <c r="H23" s="41"/>
      <c r="J23" s="110">
        <f>'Revenue matching'!J43</f>
        <v>6.4450264919713831</v>
      </c>
      <c r="K23" s="110">
        <f>'Revenue matching'!K43</f>
        <v>0</v>
      </c>
      <c r="L23" s="110">
        <f>'Revenue matching'!L43</f>
        <v>11.919761633370076</v>
      </c>
      <c r="M23" s="110">
        <f>'Revenue matching'!M43</f>
        <v>11.919761633370076</v>
      </c>
      <c r="N23" s="110">
        <f>'Revenue matching'!N43</f>
        <v>11.919761633370076</v>
      </c>
      <c r="O23" s="110">
        <f>'Revenue matching'!O43</f>
        <v>11.919761633370076</v>
      </c>
      <c r="P23" s="110">
        <f>'Revenue matching'!P43</f>
        <v>11.919761633370076</v>
      </c>
      <c r="Q23" s="110">
        <f>'Revenue matching'!Q43</f>
        <v>0</v>
      </c>
      <c r="R23" s="110">
        <f>'Revenue matching'!R43</f>
        <v>16.57610077681834</v>
      </c>
      <c r="S23" s="110">
        <f>'Revenue matching'!S43</f>
        <v>16.57610077681834</v>
      </c>
      <c r="T23" s="110">
        <f>'Revenue matching'!T43</f>
        <v>16.57610077681834</v>
      </c>
      <c r="U23" s="110">
        <f>'Revenue matching'!U43</f>
        <v>16.57610077681834</v>
      </c>
      <c r="V23" s="110">
        <f>'Revenue matching'!V43</f>
        <v>16.57610077681834</v>
      </c>
      <c r="W23" s="110">
        <f>'Revenue matching'!W43</f>
        <v>12.93942798647695</v>
      </c>
      <c r="X23" s="110">
        <f>'Revenue matching'!X43</f>
        <v>12.93942798647695</v>
      </c>
      <c r="Y23" s="110">
        <f>'Revenue matching'!Y43</f>
        <v>12.93942798647695</v>
      </c>
      <c r="Z23" s="110">
        <f>'Revenue matching'!Z43</f>
        <v>12.93942798647695</v>
      </c>
      <c r="AA23" s="110">
        <f>'Revenue matching'!AA43</f>
        <v>12.93942798647695</v>
      </c>
      <c r="AB23" s="110">
        <f>'Revenue matching'!AB43</f>
        <v>119.45467255437254</v>
      </c>
      <c r="AC23" s="110">
        <f>'Revenue matching'!AC43</f>
        <v>119.45467255437254</v>
      </c>
      <c r="AD23" s="110">
        <f>'Revenue matching'!AD43</f>
        <v>119.45467255437254</v>
      </c>
      <c r="AE23" s="110">
        <f>'Revenue matching'!AE43</f>
        <v>119.45467255437254</v>
      </c>
      <c r="AF23" s="110">
        <f>'Revenue matching'!AF43</f>
        <v>119.45467255437254</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74.759832813677818</v>
      </c>
      <c r="AO23" s="110">
        <f>'Revenue matching'!AO43</f>
        <v>74.759832813677818</v>
      </c>
    </row>
    <row r="24" spans="3:43" x14ac:dyDescent="0.25">
      <c r="C24" s="78"/>
      <c r="F24" t="s">
        <v>161</v>
      </c>
      <c r="G24" t="s">
        <v>272</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5.1751263513126649</v>
      </c>
      <c r="S24" s="110">
        <f>'Revenue matching'!S44</f>
        <v>5.1751263513126649</v>
      </c>
      <c r="T24" s="110">
        <f>'Revenue matching'!T44</f>
        <v>5.1751263513126649</v>
      </c>
      <c r="U24" s="110">
        <f>'Revenue matching'!U44</f>
        <v>5.1751263513126649</v>
      </c>
      <c r="V24" s="110">
        <f>'Revenue matching'!V44</f>
        <v>5.1751263513126649</v>
      </c>
      <c r="W24" s="110">
        <f>'Revenue matching'!W44</f>
        <v>4.8569968783259014</v>
      </c>
      <c r="X24" s="110">
        <f>'Revenue matching'!X44</f>
        <v>4.8569968783259014</v>
      </c>
      <c r="Y24" s="110">
        <f>'Revenue matching'!Y44</f>
        <v>4.8569968783259014</v>
      </c>
      <c r="Z24" s="110">
        <f>'Revenue matching'!Z44</f>
        <v>4.8569968783259014</v>
      </c>
      <c r="AA24" s="110">
        <f>'Revenue matching'!AA44</f>
        <v>4.8569968783259014</v>
      </c>
      <c r="AB24" s="110">
        <f>'Revenue matching'!AB44</f>
        <v>4.0922507787562674</v>
      </c>
      <c r="AC24" s="110">
        <f>'Revenue matching'!AC44</f>
        <v>4.0922507787562674</v>
      </c>
      <c r="AD24" s="110">
        <f>'Revenue matching'!AD44</f>
        <v>4.0922507787562674</v>
      </c>
      <c r="AE24" s="110">
        <f>'Revenue matching'!AE44</f>
        <v>4.0922507787562674</v>
      </c>
      <c r="AF24" s="110">
        <f>'Revenue matching'!AF44</f>
        <v>4.0922507787562674</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162</v>
      </c>
      <c r="G25" t="s">
        <v>272</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10.133407692924756</v>
      </c>
      <c r="S25" s="110">
        <f>'Revenue matching'!S45</f>
        <v>10.133407692924756</v>
      </c>
      <c r="T25" s="110">
        <f>'Revenue matching'!T45</f>
        <v>10.133407692924756</v>
      </c>
      <c r="U25" s="110">
        <f>'Revenue matching'!U45</f>
        <v>10.133407692924756</v>
      </c>
      <c r="V25" s="110">
        <f>'Revenue matching'!V45</f>
        <v>10.133407692924756</v>
      </c>
      <c r="W25" s="110">
        <f>'Revenue matching'!W45</f>
        <v>8.7728917702555496</v>
      </c>
      <c r="X25" s="110">
        <f>'Revenue matching'!X45</f>
        <v>8.7728917702555496</v>
      </c>
      <c r="Y25" s="110">
        <f>'Revenue matching'!Y45</f>
        <v>8.7728917702555496</v>
      </c>
      <c r="Z25" s="110">
        <f>'Revenue matching'!Z45</f>
        <v>8.7728917702555496</v>
      </c>
      <c r="AA25" s="110">
        <f>'Revenue matching'!AA45</f>
        <v>8.7728917702555496</v>
      </c>
      <c r="AB25" s="110">
        <f>'Revenue matching'!AB45</f>
        <v>8.4410149633106037</v>
      </c>
      <c r="AC25" s="110">
        <f>'Revenue matching'!AC45</f>
        <v>8.4410149633106037</v>
      </c>
      <c r="AD25" s="110">
        <f>'Revenue matching'!AD45</f>
        <v>8.4410149633106037</v>
      </c>
      <c r="AE25" s="110">
        <f>'Revenue matching'!AE45</f>
        <v>8.4410149633106037</v>
      </c>
      <c r="AF25" s="110">
        <f>'Revenue matching'!AF45</f>
        <v>8.4410149633106037</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163</v>
      </c>
      <c r="G26" s="28" t="s">
        <v>273</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0.14374277388422174</v>
      </c>
      <c r="S26" s="272">
        <f>'Revenue matching'!S46</f>
        <v>0.14374277388422174</v>
      </c>
      <c r="T26" s="272">
        <f>'Revenue matching'!T46</f>
        <v>0.14374277388422174</v>
      </c>
      <c r="U26" s="272">
        <f>'Revenue matching'!U46</f>
        <v>0.14374277388422174</v>
      </c>
      <c r="V26" s="272">
        <f>'Revenue matching'!V46</f>
        <v>0.14374277388422174</v>
      </c>
      <c r="W26" s="272">
        <f>'Revenue matching'!W46</f>
        <v>9.2852011484984898E-2</v>
      </c>
      <c r="X26" s="272">
        <f>'Revenue matching'!X46</f>
        <v>9.2852011484984898E-2</v>
      </c>
      <c r="Y26" s="272">
        <f>'Revenue matching'!Y46</f>
        <v>9.2852011484984898E-2</v>
      </c>
      <c r="Z26" s="272">
        <f>'Revenue matching'!Z46</f>
        <v>9.2852011484984898E-2</v>
      </c>
      <c r="AA26" s="272">
        <f>'Revenue matching'!AA46</f>
        <v>9.2852011484984898E-2</v>
      </c>
      <c r="AB26" s="272">
        <f>'Revenue matching'!AB46</f>
        <v>6.0971490491113549E-2</v>
      </c>
      <c r="AC26" s="272">
        <f>'Revenue matching'!AC46</f>
        <v>6.0971490491113549E-2</v>
      </c>
      <c r="AD26" s="272">
        <f>'Revenue matching'!AD46</f>
        <v>6.0971490491113549E-2</v>
      </c>
      <c r="AE26" s="272">
        <f>'Revenue matching'!AE46</f>
        <v>6.0971490491113549E-2</v>
      </c>
      <c r="AF26" s="272">
        <f>'Revenue matching'!AF46</f>
        <v>6.0971490491113549E-2</v>
      </c>
      <c r="AG26" s="272">
        <f>'Revenue matching'!AG46</f>
        <v>0</v>
      </c>
      <c r="AH26" s="272">
        <f>'Revenue matching'!AH46</f>
        <v>0</v>
      </c>
      <c r="AI26" s="272">
        <f>'Revenue matching'!AI46</f>
        <v>0</v>
      </c>
      <c r="AJ26" s="272">
        <f>'Revenue matching'!AJ46</f>
        <v>0.15293859301027984</v>
      </c>
      <c r="AK26" s="272">
        <f>'Revenue matching'!AK46</f>
        <v>0</v>
      </c>
      <c r="AL26" s="272">
        <f>'Revenue matching'!AL46</f>
        <v>0.11981639967433741</v>
      </c>
      <c r="AM26" s="272">
        <f>'Revenue matching'!AM46</f>
        <v>0</v>
      </c>
      <c r="AN26" s="272">
        <f>'Revenue matching'!AN46</f>
        <v>9.1094368372010112E-2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157</v>
      </c>
      <c r="G32" s="19" t="s">
        <v>270</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2.3758067258361288</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158</v>
      </c>
      <c r="G33" t="s">
        <v>270</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2.3758067258361288</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159</v>
      </c>
      <c r="G34" t="s">
        <v>270</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2.3758067258361288</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160</v>
      </c>
      <c r="G35" t="s">
        <v>271</v>
      </c>
      <c r="H35" s="41"/>
      <c r="J35" s="261">
        <f>'Revenue matching'!J416</f>
        <v>22.065584442494366</v>
      </c>
      <c r="K35" s="261">
        <f>'Revenue matching'!K416</f>
        <v>0</v>
      </c>
      <c r="L35" s="261">
        <f>'Revenue matching'!L416</f>
        <v>0</v>
      </c>
      <c r="M35" s="261">
        <f>'Revenue matching'!M416</f>
        <v>8.2587431185520703</v>
      </c>
      <c r="N35" s="261">
        <f>'Revenue matching'!N416</f>
        <v>48.736376695210211</v>
      </c>
      <c r="O35" s="261">
        <f>'Revenue matching'!O416</f>
        <v>116.91374674753186</v>
      </c>
      <c r="P35" s="261">
        <f>'Revenue matching'!P416</f>
        <v>381.3028060873051</v>
      </c>
      <c r="Q35" s="261">
        <f>'Revenue matching'!Q416</f>
        <v>0</v>
      </c>
      <c r="R35" s="261">
        <f>'Revenue matching'!R416</f>
        <v>0</v>
      </c>
      <c r="S35" s="261">
        <f>'Revenue matching'!S416</f>
        <v>636.6019711134054</v>
      </c>
      <c r="T35" s="261">
        <f>'Revenue matching'!T416</f>
        <v>1158.9537016348681</v>
      </c>
      <c r="U35" s="261">
        <f>'Revenue matching'!U416</f>
        <v>1791.3405048687332</v>
      </c>
      <c r="V35" s="261">
        <f>'Revenue matching'!V416</f>
        <v>3808.7521229934532</v>
      </c>
      <c r="W35" s="261">
        <f>'Revenue matching'!W416</f>
        <v>0</v>
      </c>
      <c r="X35" s="261">
        <f>'Revenue matching'!X416</f>
        <v>636.60197111340563</v>
      </c>
      <c r="Y35" s="261">
        <f>'Revenue matching'!Y416</f>
        <v>1158.9537016348681</v>
      </c>
      <c r="Z35" s="261">
        <f>'Revenue matching'!Z416</f>
        <v>1791.3405048687332</v>
      </c>
      <c r="AA35" s="261">
        <f>'Revenue matching'!AA416</f>
        <v>3808.7521229934532</v>
      </c>
      <c r="AB35" s="261">
        <f>'Revenue matching'!AB416</f>
        <v>0</v>
      </c>
      <c r="AC35" s="261">
        <f>'Revenue matching'!AC416</f>
        <v>3780.798272645166</v>
      </c>
      <c r="AD35" s="261">
        <f>'Revenue matching'!AD416</f>
        <v>9358.0347886249547</v>
      </c>
      <c r="AE35" s="261">
        <f>'Revenue matching'!AE416</f>
        <v>20747.412473599914</v>
      </c>
      <c r="AF35" s="261">
        <f>'Revenue matching'!AF416</f>
        <v>52456.764067637618</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161</v>
      </c>
      <c r="G36" t="s">
        <v>272</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162</v>
      </c>
      <c r="G37" t="s">
        <v>272</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163</v>
      </c>
      <c r="G38" s="28" t="s">
        <v>273</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157</v>
      </c>
      <c r="G44" s="19" t="s">
        <v>270</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158</v>
      </c>
      <c r="G45" t="s">
        <v>270</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159</v>
      </c>
      <c r="G46" t="s">
        <v>270</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160</v>
      </c>
      <c r="G47" t="s">
        <v>271</v>
      </c>
      <c r="H47" s="41"/>
      <c r="J47" s="111">
        <f>'Revenue matching'!J48</f>
        <v>0.91306772696471272</v>
      </c>
      <c r="K47" s="111">
        <f>'Revenue matching'!K48</f>
        <v>0</v>
      </c>
      <c r="L47" s="111">
        <f>'Revenue matching'!L48</f>
        <v>0.71834165313114851</v>
      </c>
      <c r="M47" s="111">
        <f>'Revenue matching'!M48</f>
        <v>0.71834165313114851</v>
      </c>
      <c r="N47" s="111">
        <f>'Revenue matching'!N48</f>
        <v>0.71834165313114851</v>
      </c>
      <c r="O47" s="111">
        <f>'Revenue matching'!O48</f>
        <v>0.71834165313114851</v>
      </c>
      <c r="P47" s="111">
        <f>'Revenue matching'!P48</f>
        <v>0.71834165313114851</v>
      </c>
      <c r="Q47" s="111">
        <f>'Revenue matching'!Q48</f>
        <v>0</v>
      </c>
      <c r="R47" s="111">
        <f>'Revenue matching'!R48</f>
        <v>0.71834165313114851</v>
      </c>
      <c r="S47" s="111">
        <f>'Revenue matching'!S48</f>
        <v>0.71834165313114851</v>
      </c>
      <c r="T47" s="111">
        <f>'Revenue matching'!T48</f>
        <v>0.71834165313114851</v>
      </c>
      <c r="U47" s="111">
        <f>'Revenue matching'!U48</f>
        <v>0.71834165313114851</v>
      </c>
      <c r="V47" s="111">
        <f>'Revenue matching'!V48</f>
        <v>0.71834165313114851</v>
      </c>
      <c r="W47" s="111">
        <f>'Revenue matching'!W48</f>
        <v>0.71834165313114851</v>
      </c>
      <c r="X47" s="111">
        <f>'Revenue matching'!X48</f>
        <v>0.71834165313114851</v>
      </c>
      <c r="Y47" s="111">
        <f>'Revenue matching'!Y48</f>
        <v>0.71834165313114851</v>
      </c>
      <c r="Z47" s="111">
        <f>'Revenue matching'!Z48</f>
        <v>0.71834165313114851</v>
      </c>
      <c r="AA47" s="111">
        <f>'Revenue matching'!AA48</f>
        <v>0.71834165313114851</v>
      </c>
      <c r="AB47" s="111">
        <f>'Revenue matching'!AB48</f>
        <v>0.71834165313114851</v>
      </c>
      <c r="AC47" s="111">
        <f>'Revenue matching'!AC48</f>
        <v>0.71834165313114851</v>
      </c>
      <c r="AD47" s="111">
        <f>'Revenue matching'!AD48</f>
        <v>0.71834165313114851</v>
      </c>
      <c r="AE47" s="111">
        <f>'Revenue matching'!AE48</f>
        <v>0.71834165313114851</v>
      </c>
      <c r="AF47" s="111">
        <f>'Revenue matching'!AF48</f>
        <v>0.71834165313114851</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161</v>
      </c>
      <c r="G48" t="s">
        <v>272</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162</v>
      </c>
      <c r="G49" t="s">
        <v>272</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163</v>
      </c>
      <c r="G50" s="28" t="s">
        <v>273</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56" t="s">
        <v>1005</v>
      </c>
      <c r="G54" s="356" t="s">
        <v>150</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155</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157</v>
      </c>
      <c r="G57" s="19" t="s">
        <v>168</v>
      </c>
      <c r="H57" s="164"/>
      <c r="I57" s="19"/>
      <c r="J57" s="327">
        <f>'Volume adjustments'!J315</f>
        <v>0.39058025506328897</v>
      </c>
      <c r="K57" s="327">
        <f>'Volume adjustments'!K315</f>
        <v>0.39058025506328897</v>
      </c>
      <c r="L57" s="327">
        <f>'Volume adjustments'!L315</f>
        <v>0.39058025506328897</v>
      </c>
      <c r="M57" s="327">
        <f>'Volume adjustments'!M315</f>
        <v>0.39058025506328897</v>
      </c>
      <c r="N57" s="327">
        <f>'Volume adjustments'!N315</f>
        <v>0.39058025506328897</v>
      </c>
      <c r="O57" s="327">
        <f>'Volume adjustments'!O315</f>
        <v>0</v>
      </c>
      <c r="P57" s="327">
        <f>'Volume adjustments'!P315</f>
        <v>0</v>
      </c>
      <c r="Q57" s="327">
        <f>'Volume adjustments'!Q315</f>
        <v>0.39058025506328897</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25">
      <c r="E58" s="78"/>
      <c r="F58" t="s">
        <v>158</v>
      </c>
      <c r="G58" t="s">
        <v>168</v>
      </c>
      <c r="H58" s="41"/>
      <c r="J58" s="328">
        <f>'Volume adjustments'!J316</f>
        <v>0.39058025506328897</v>
      </c>
      <c r="K58" s="328">
        <f>'Volume adjustments'!K316</f>
        <v>0.39058025506328897</v>
      </c>
      <c r="L58" s="328">
        <f>'Volume adjustments'!L316</f>
        <v>0.39058025506328897</v>
      </c>
      <c r="M58" s="328">
        <f>'Volume adjustments'!M316</f>
        <v>0.39058025506328897</v>
      </c>
      <c r="N58" s="328">
        <f>'Volume adjustments'!N316</f>
        <v>0.39058025506328897</v>
      </c>
      <c r="O58" s="328">
        <f>'Volume adjustments'!O316</f>
        <v>0</v>
      </c>
      <c r="P58" s="328">
        <f>'Volume adjustments'!P316</f>
        <v>0</v>
      </c>
      <c r="Q58" s="328">
        <f>'Volume adjustments'!Q316</f>
        <v>0.39058025506328897</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25">
      <c r="E59" s="78"/>
      <c r="F59" t="s">
        <v>159</v>
      </c>
      <c r="G59" t="s">
        <v>168</v>
      </c>
      <c r="H59" s="41"/>
      <c r="J59" s="328">
        <f>'Volume adjustments'!J317</f>
        <v>0.39058025506328897</v>
      </c>
      <c r="K59" s="328">
        <f>'Volume adjustments'!K317</f>
        <v>0.39058025506328897</v>
      </c>
      <c r="L59" s="328">
        <f>'Volume adjustments'!L317</f>
        <v>0.39058025506328897</v>
      </c>
      <c r="M59" s="328">
        <f>'Volume adjustments'!M317</f>
        <v>0.39058025506328897</v>
      </c>
      <c r="N59" s="328">
        <f>'Volume adjustments'!N317</f>
        <v>0.39058025506328897</v>
      </c>
      <c r="O59" s="328">
        <f>'Volume adjustments'!O317</f>
        <v>0</v>
      </c>
      <c r="P59" s="328">
        <f>'Volume adjustments'!P317</f>
        <v>0</v>
      </c>
      <c r="Q59" s="328">
        <f>'Volume adjustments'!Q317</f>
        <v>0.39058025506328897</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25">
      <c r="E60" s="78"/>
      <c r="F60" t="s">
        <v>160</v>
      </c>
      <c r="G60" t="s">
        <v>168</v>
      </c>
      <c r="H60" s="41"/>
      <c r="J60" s="328">
        <f>'Volume adjustments'!J318</f>
        <v>0.39058025506328897</v>
      </c>
      <c r="K60" s="328">
        <f>'Volume adjustments'!K318</f>
        <v>0.39058025506328897</v>
      </c>
      <c r="L60" s="328">
        <f>'Volume adjustments'!L318</f>
        <v>0.39058025506328897</v>
      </c>
      <c r="M60" s="328">
        <f>'Volume adjustments'!M318</f>
        <v>0.39058025506328897</v>
      </c>
      <c r="N60" s="328">
        <f>'Volume adjustments'!N318</f>
        <v>0.39058025506328897</v>
      </c>
      <c r="O60" s="328">
        <f>'Volume adjustments'!O318</f>
        <v>0</v>
      </c>
      <c r="P60" s="328">
        <f>'Volume adjustments'!P318</f>
        <v>0</v>
      </c>
      <c r="Q60" s="328">
        <f>'Volume adjustments'!Q318</f>
        <v>0.39058025506328897</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25">
      <c r="E61" s="78"/>
      <c r="F61" t="s">
        <v>161</v>
      </c>
      <c r="G61" t="s">
        <v>168</v>
      </c>
      <c r="H61" s="41"/>
      <c r="J61" s="328">
        <f>'Volume adjustments'!J319</f>
        <v>0.39058025506328897</v>
      </c>
      <c r="K61" s="328">
        <f>'Volume adjustments'!K319</f>
        <v>0.39058025506328897</v>
      </c>
      <c r="L61" s="328">
        <f>'Volume adjustments'!L319</f>
        <v>0.39058025506328897</v>
      </c>
      <c r="M61" s="328">
        <f>'Volume adjustments'!M319</f>
        <v>0.39058025506328897</v>
      </c>
      <c r="N61" s="328">
        <f>'Volume adjustments'!N319</f>
        <v>0.39058025506328897</v>
      </c>
      <c r="O61" s="328">
        <f>'Volume adjustments'!O319</f>
        <v>0</v>
      </c>
      <c r="P61" s="328">
        <f>'Volume adjustments'!P319</f>
        <v>0</v>
      </c>
      <c r="Q61" s="328">
        <f>'Volume adjustments'!Q319</f>
        <v>0.39058025506328897</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25">
      <c r="E62" s="78"/>
      <c r="F62" t="s">
        <v>162</v>
      </c>
      <c r="G62" t="s">
        <v>168</v>
      </c>
      <c r="H62" s="41"/>
      <c r="J62" s="328">
        <f>'Volume adjustments'!J320</f>
        <v>0.39058025506328897</v>
      </c>
      <c r="K62" s="328">
        <f>'Volume adjustments'!K320</f>
        <v>0.39058025506328897</v>
      </c>
      <c r="L62" s="328">
        <f>'Volume adjustments'!L320</f>
        <v>0.39058025506328897</v>
      </c>
      <c r="M62" s="328">
        <f>'Volume adjustments'!M320</f>
        <v>0.39058025506328897</v>
      </c>
      <c r="N62" s="328">
        <f>'Volume adjustments'!N320</f>
        <v>0.39058025506328897</v>
      </c>
      <c r="O62" s="328">
        <f>'Volume adjustments'!O320</f>
        <v>0</v>
      </c>
      <c r="P62" s="328">
        <f>'Volume adjustments'!P320</f>
        <v>0</v>
      </c>
      <c r="Q62" s="328">
        <f>'Volume adjustments'!Q320</f>
        <v>0.39058025506328897</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25">
      <c r="E63" s="78"/>
      <c r="F63" s="28" t="s">
        <v>163</v>
      </c>
      <c r="G63" s="28" t="s">
        <v>168</v>
      </c>
      <c r="H63" s="201"/>
      <c r="I63" s="28"/>
      <c r="J63" s="329">
        <f>'Volume adjustments'!J321</f>
        <v>0.39058025506328897</v>
      </c>
      <c r="K63" s="329">
        <f>'Volume adjustments'!K321</f>
        <v>0.39058025506328897</v>
      </c>
      <c r="L63" s="329">
        <f>'Volume adjustments'!L321</f>
        <v>0.39058025506328897</v>
      </c>
      <c r="M63" s="329">
        <f>'Volume adjustments'!M321</f>
        <v>0.39058025506328897</v>
      </c>
      <c r="N63" s="329">
        <f>'Volume adjustments'!N321</f>
        <v>0.39058025506328897</v>
      </c>
      <c r="O63" s="329">
        <f>'Volume adjustments'!O321</f>
        <v>0</v>
      </c>
      <c r="P63" s="329">
        <f>'Volume adjustments'!P321</f>
        <v>0</v>
      </c>
      <c r="Q63" s="329">
        <f>'Volume adjustments'!Q321</f>
        <v>0.39058025506328897</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25">
      <c r="E64"/>
    </row>
    <row r="65" spans="4:43" ht="60" x14ac:dyDescent="0.25">
      <c r="E65" s="78" t="s">
        <v>748</v>
      </c>
      <c r="I65" t="s">
        <v>155</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157</v>
      </c>
      <c r="G66" s="19" t="s">
        <v>168</v>
      </c>
      <c r="H66" s="164"/>
      <c r="I66" s="19"/>
      <c r="J66" s="327">
        <f>'Volume adjustments'!J324</f>
        <v>0.5844622071010992</v>
      </c>
      <c r="K66" s="327">
        <f>'Volume adjustments'!K324</f>
        <v>0.5844622071010992</v>
      </c>
      <c r="L66" s="327">
        <f>'Volume adjustments'!L324</f>
        <v>0.5844622071010992</v>
      </c>
      <c r="M66" s="327">
        <f>'Volume adjustments'!M324</f>
        <v>0.5844622071010992</v>
      </c>
      <c r="N66" s="327">
        <f>'Volume adjustments'!N324</f>
        <v>0.5844622071010992</v>
      </c>
      <c r="O66" s="327">
        <f>'Volume adjustments'!O324</f>
        <v>0.30237542617520075</v>
      </c>
      <c r="P66" s="327">
        <f>'Volume adjustments'!P324</f>
        <v>0.17250073175528055</v>
      </c>
      <c r="Q66" s="327">
        <f>'Volume adjustments'!Q324</f>
        <v>0.5844622071010992</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25">
      <c r="E67" s="78"/>
      <c r="F67" t="s">
        <v>158</v>
      </c>
      <c r="G67" t="s">
        <v>168</v>
      </c>
      <c r="H67" s="41"/>
      <c r="J67" s="328">
        <f>'Volume adjustments'!J325</f>
        <v>0.5844622071010992</v>
      </c>
      <c r="K67" s="328">
        <f>'Volume adjustments'!K325</f>
        <v>0.5844622071010992</v>
      </c>
      <c r="L67" s="328">
        <f>'Volume adjustments'!L325</f>
        <v>0.5844622071010992</v>
      </c>
      <c r="M67" s="328">
        <f>'Volume adjustments'!M325</f>
        <v>0.5844622071010992</v>
      </c>
      <c r="N67" s="328">
        <f>'Volume adjustments'!N325</f>
        <v>0.5844622071010992</v>
      </c>
      <c r="O67" s="328">
        <f>'Volume adjustments'!O325</f>
        <v>0.30237542617520075</v>
      </c>
      <c r="P67" s="328">
        <f>'Volume adjustments'!P325</f>
        <v>0.17250073175528055</v>
      </c>
      <c r="Q67" s="328">
        <f>'Volume adjustments'!Q325</f>
        <v>0.5844622071010992</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25">
      <c r="E68" s="78"/>
      <c r="F68" t="s">
        <v>159</v>
      </c>
      <c r="G68" t="s">
        <v>168</v>
      </c>
      <c r="H68" s="41"/>
      <c r="J68" s="328">
        <f>'Volume adjustments'!J326</f>
        <v>0.5844622071010992</v>
      </c>
      <c r="K68" s="328">
        <f>'Volume adjustments'!K326</f>
        <v>0.5844622071010992</v>
      </c>
      <c r="L68" s="328">
        <f>'Volume adjustments'!L326</f>
        <v>0.5844622071010992</v>
      </c>
      <c r="M68" s="328">
        <f>'Volume adjustments'!M326</f>
        <v>0.5844622071010992</v>
      </c>
      <c r="N68" s="328">
        <f>'Volume adjustments'!N326</f>
        <v>0.5844622071010992</v>
      </c>
      <c r="O68" s="328">
        <f>'Volume adjustments'!O326</f>
        <v>0.30237542617520075</v>
      </c>
      <c r="P68" s="328">
        <f>'Volume adjustments'!P326</f>
        <v>0.17250073175528055</v>
      </c>
      <c r="Q68" s="328">
        <f>'Volume adjustments'!Q326</f>
        <v>0.5844622071010992</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25">
      <c r="E69" s="78"/>
      <c r="F69" t="s">
        <v>160</v>
      </c>
      <c r="G69" t="s">
        <v>168</v>
      </c>
      <c r="H69" s="41"/>
      <c r="J69" s="328">
        <f>'Volume adjustments'!J327</f>
        <v>0.5844622071010992</v>
      </c>
      <c r="K69" s="328">
        <f>'Volume adjustments'!K327</f>
        <v>0.5844622071010992</v>
      </c>
      <c r="L69" s="328">
        <f>'Volume adjustments'!L327</f>
        <v>0.5844622071010992</v>
      </c>
      <c r="M69" s="328">
        <f>'Volume adjustments'!M327</f>
        <v>0.5844622071010992</v>
      </c>
      <c r="N69" s="328">
        <f>'Volume adjustments'!N327</f>
        <v>0.5844622071010992</v>
      </c>
      <c r="O69" s="328">
        <f>'Volume adjustments'!O327</f>
        <v>0.30237542617520075</v>
      </c>
      <c r="P69" s="328">
        <f>'Volume adjustments'!P327</f>
        <v>0.17250073175528055</v>
      </c>
      <c r="Q69" s="328">
        <f>'Volume adjustments'!Q327</f>
        <v>0.5844622071010992</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25">
      <c r="E70" s="78"/>
      <c r="F70" t="s">
        <v>161</v>
      </c>
      <c r="G70" t="s">
        <v>168</v>
      </c>
      <c r="H70" s="41"/>
      <c r="J70" s="328">
        <f>'Volume adjustments'!J328</f>
        <v>0.5844622071010992</v>
      </c>
      <c r="K70" s="328">
        <f>'Volume adjustments'!K328</f>
        <v>0.5844622071010992</v>
      </c>
      <c r="L70" s="328">
        <f>'Volume adjustments'!L328</f>
        <v>0.5844622071010992</v>
      </c>
      <c r="M70" s="328">
        <f>'Volume adjustments'!M328</f>
        <v>0.5844622071010992</v>
      </c>
      <c r="N70" s="328">
        <f>'Volume adjustments'!N328</f>
        <v>0.5844622071010992</v>
      </c>
      <c r="O70" s="328">
        <f>'Volume adjustments'!O328</f>
        <v>0.30237542617520075</v>
      </c>
      <c r="P70" s="328">
        <f>'Volume adjustments'!P328</f>
        <v>0.17250073175528055</v>
      </c>
      <c r="Q70" s="328">
        <f>'Volume adjustments'!Q328</f>
        <v>0.5844622071010992</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25">
      <c r="E71" s="78"/>
      <c r="F71" t="s">
        <v>162</v>
      </c>
      <c r="G71" t="s">
        <v>168</v>
      </c>
      <c r="H71" s="41"/>
      <c r="J71" s="328">
        <f>'Volume adjustments'!J329</f>
        <v>0.5844622071010992</v>
      </c>
      <c r="K71" s="328">
        <f>'Volume adjustments'!K329</f>
        <v>0.5844622071010992</v>
      </c>
      <c r="L71" s="328">
        <f>'Volume adjustments'!L329</f>
        <v>0.5844622071010992</v>
      </c>
      <c r="M71" s="328">
        <f>'Volume adjustments'!M329</f>
        <v>0.5844622071010992</v>
      </c>
      <c r="N71" s="328">
        <f>'Volume adjustments'!N329</f>
        <v>0.5844622071010992</v>
      </c>
      <c r="O71" s="328">
        <f>'Volume adjustments'!O329</f>
        <v>0.30237542617520075</v>
      </c>
      <c r="P71" s="328">
        <f>'Volume adjustments'!P329</f>
        <v>0.17250073175528055</v>
      </c>
      <c r="Q71" s="328">
        <f>'Volume adjustments'!Q329</f>
        <v>0.5844622071010992</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25">
      <c r="E72" s="78"/>
      <c r="F72" s="28" t="s">
        <v>163</v>
      </c>
      <c r="G72" s="28" t="s">
        <v>168</v>
      </c>
      <c r="H72" s="201"/>
      <c r="I72" s="28"/>
      <c r="J72" s="329">
        <f>'Volume adjustments'!J330</f>
        <v>0.5844622071010992</v>
      </c>
      <c r="K72" s="329">
        <f>'Volume adjustments'!K330</f>
        <v>0.5844622071010992</v>
      </c>
      <c r="L72" s="329">
        <f>'Volume adjustments'!L330</f>
        <v>0.5844622071010992</v>
      </c>
      <c r="M72" s="329">
        <f>'Volume adjustments'!M330</f>
        <v>0.5844622071010992</v>
      </c>
      <c r="N72" s="329">
        <f>'Volume adjustments'!N330</f>
        <v>0.5844622071010992</v>
      </c>
      <c r="O72" s="329">
        <f>'Volume adjustments'!O330</f>
        <v>0.30237542617520075</v>
      </c>
      <c r="P72" s="329">
        <f>'Volume adjustments'!P330</f>
        <v>0.17250073175528055</v>
      </c>
      <c r="Q72" s="329">
        <f>'Volume adjustments'!Q330</f>
        <v>0.5844622071010992</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25">
      <c r="E73"/>
    </row>
    <row r="74" spans="4:43" x14ac:dyDescent="0.25">
      <c r="D74"/>
      <c r="E74" s="78" t="s">
        <v>747</v>
      </c>
      <c r="I74" t="s">
        <v>155</v>
      </c>
      <c r="AQ74" t="s">
        <v>427</v>
      </c>
    </row>
    <row r="75" spans="4:43" x14ac:dyDescent="0.25">
      <c r="D75"/>
      <c r="E75" s="78"/>
      <c r="F75" s="19" t="s">
        <v>157</v>
      </c>
      <c r="G75" s="19" t="s">
        <v>168</v>
      </c>
      <c r="H75" s="164"/>
      <c r="I75" s="19"/>
      <c r="J75" s="144">
        <f>INDEX($J57:$Y57,J$54)</f>
        <v>0.39058025506328897</v>
      </c>
      <c r="K75" s="144">
        <f t="shared" ref="K75:AO75" si="0">INDEX($J57:$Y57,K$54)</f>
        <v>0.39058025506328897</v>
      </c>
      <c r="L75" s="144">
        <f t="shared" si="0"/>
        <v>0.39058025506328897</v>
      </c>
      <c r="M75" s="144">
        <f t="shared" si="0"/>
        <v>0.39058025506328897</v>
      </c>
      <c r="N75" s="144">
        <f t="shared" si="0"/>
        <v>0.39058025506328897</v>
      </c>
      <c r="O75" s="144">
        <f t="shared" si="0"/>
        <v>0.39058025506328897</v>
      </c>
      <c r="P75" s="144">
        <f t="shared" si="0"/>
        <v>0.39058025506328897</v>
      </c>
      <c r="Q75" s="144">
        <f t="shared" si="0"/>
        <v>0.39058025506328897</v>
      </c>
      <c r="R75" s="144">
        <f t="shared" si="0"/>
        <v>0.39058025506328897</v>
      </c>
      <c r="S75" s="144">
        <f t="shared" si="0"/>
        <v>0.39058025506328897</v>
      </c>
      <c r="T75" s="144">
        <f t="shared" si="0"/>
        <v>0.39058025506328897</v>
      </c>
      <c r="U75" s="144">
        <f t="shared" si="0"/>
        <v>0.39058025506328897</v>
      </c>
      <c r="V75" s="144">
        <f t="shared" si="0"/>
        <v>0.39058025506328897</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0.39058025506328897</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158</v>
      </c>
      <c r="G76" t="s">
        <v>168</v>
      </c>
      <c r="H76" s="41"/>
      <c r="J76" s="135">
        <f t="shared" ref="J76:AO76" si="1">INDEX($J58:$Y58,J$54)</f>
        <v>0.39058025506328897</v>
      </c>
      <c r="K76" s="135">
        <f t="shared" si="1"/>
        <v>0.39058025506328897</v>
      </c>
      <c r="L76" s="135">
        <f t="shared" si="1"/>
        <v>0.39058025506328897</v>
      </c>
      <c r="M76" s="135">
        <f t="shared" si="1"/>
        <v>0.39058025506328897</v>
      </c>
      <c r="N76" s="135">
        <f t="shared" si="1"/>
        <v>0.39058025506328897</v>
      </c>
      <c r="O76" s="135">
        <f t="shared" si="1"/>
        <v>0.39058025506328897</v>
      </c>
      <c r="P76" s="135">
        <f t="shared" si="1"/>
        <v>0.39058025506328897</v>
      </c>
      <c r="Q76" s="135">
        <f t="shared" si="1"/>
        <v>0.39058025506328897</v>
      </c>
      <c r="R76" s="135">
        <f t="shared" si="1"/>
        <v>0.39058025506328897</v>
      </c>
      <c r="S76" s="135">
        <f t="shared" si="1"/>
        <v>0.39058025506328897</v>
      </c>
      <c r="T76" s="135">
        <f t="shared" si="1"/>
        <v>0.39058025506328897</v>
      </c>
      <c r="U76" s="135">
        <f t="shared" si="1"/>
        <v>0.39058025506328897</v>
      </c>
      <c r="V76" s="135">
        <f t="shared" si="1"/>
        <v>0.39058025506328897</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0.39058025506328897</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159</v>
      </c>
      <c r="G77" t="s">
        <v>168</v>
      </c>
      <c r="H77" s="41"/>
      <c r="J77" s="135">
        <f t="shared" ref="J77:AO77" si="2">INDEX($J59:$Y59,J$54)</f>
        <v>0.39058025506328897</v>
      </c>
      <c r="K77" s="135">
        <f t="shared" si="2"/>
        <v>0.39058025506328897</v>
      </c>
      <c r="L77" s="135">
        <f t="shared" si="2"/>
        <v>0.39058025506328897</v>
      </c>
      <c r="M77" s="135">
        <f t="shared" si="2"/>
        <v>0.39058025506328897</v>
      </c>
      <c r="N77" s="135">
        <f t="shared" si="2"/>
        <v>0.39058025506328897</v>
      </c>
      <c r="O77" s="135">
        <f t="shared" si="2"/>
        <v>0.39058025506328897</v>
      </c>
      <c r="P77" s="135">
        <f t="shared" si="2"/>
        <v>0.39058025506328897</v>
      </c>
      <c r="Q77" s="135">
        <f t="shared" si="2"/>
        <v>0.39058025506328897</v>
      </c>
      <c r="R77" s="135">
        <f t="shared" si="2"/>
        <v>0.39058025506328897</v>
      </c>
      <c r="S77" s="135">
        <f t="shared" si="2"/>
        <v>0.39058025506328897</v>
      </c>
      <c r="T77" s="135">
        <f t="shared" si="2"/>
        <v>0.39058025506328897</v>
      </c>
      <c r="U77" s="135">
        <f t="shared" si="2"/>
        <v>0.39058025506328897</v>
      </c>
      <c r="V77" s="135">
        <f t="shared" si="2"/>
        <v>0.39058025506328897</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0.39058025506328897</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160</v>
      </c>
      <c r="G78" t="s">
        <v>168</v>
      </c>
      <c r="H78" s="41"/>
      <c r="J78" s="135">
        <f t="shared" ref="J78:AO78" si="3">INDEX($J60:$Y60,J$54)</f>
        <v>0.39058025506328897</v>
      </c>
      <c r="K78" s="135">
        <f t="shared" si="3"/>
        <v>0.39058025506328897</v>
      </c>
      <c r="L78" s="135">
        <f t="shared" si="3"/>
        <v>0.39058025506328897</v>
      </c>
      <c r="M78" s="135">
        <f t="shared" si="3"/>
        <v>0.39058025506328897</v>
      </c>
      <c r="N78" s="135">
        <f t="shared" si="3"/>
        <v>0.39058025506328897</v>
      </c>
      <c r="O78" s="135">
        <f t="shared" si="3"/>
        <v>0.39058025506328897</v>
      </c>
      <c r="P78" s="135">
        <f t="shared" si="3"/>
        <v>0.39058025506328897</v>
      </c>
      <c r="Q78" s="135">
        <f t="shared" si="3"/>
        <v>0.39058025506328897</v>
      </c>
      <c r="R78" s="135">
        <f t="shared" si="3"/>
        <v>0.39058025506328897</v>
      </c>
      <c r="S78" s="135">
        <f t="shared" si="3"/>
        <v>0.39058025506328897</v>
      </c>
      <c r="T78" s="135">
        <f t="shared" si="3"/>
        <v>0.39058025506328897</v>
      </c>
      <c r="U78" s="135">
        <f t="shared" si="3"/>
        <v>0.39058025506328897</v>
      </c>
      <c r="V78" s="135">
        <f t="shared" si="3"/>
        <v>0.39058025506328897</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0.39058025506328897</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161</v>
      </c>
      <c r="G79" t="s">
        <v>168</v>
      </c>
      <c r="H79" s="41"/>
      <c r="J79" s="135">
        <f t="shared" ref="J79:AO79" si="4">INDEX($J61:$Y61,J$54)</f>
        <v>0.39058025506328897</v>
      </c>
      <c r="K79" s="135">
        <f t="shared" si="4"/>
        <v>0.39058025506328897</v>
      </c>
      <c r="L79" s="135">
        <f t="shared" si="4"/>
        <v>0.39058025506328897</v>
      </c>
      <c r="M79" s="135">
        <f t="shared" si="4"/>
        <v>0.39058025506328897</v>
      </c>
      <c r="N79" s="135">
        <f t="shared" si="4"/>
        <v>0.39058025506328897</v>
      </c>
      <c r="O79" s="135">
        <f t="shared" si="4"/>
        <v>0.39058025506328897</v>
      </c>
      <c r="P79" s="135">
        <f t="shared" si="4"/>
        <v>0.39058025506328897</v>
      </c>
      <c r="Q79" s="135">
        <f t="shared" si="4"/>
        <v>0.39058025506328897</v>
      </c>
      <c r="R79" s="135">
        <f t="shared" si="4"/>
        <v>0.39058025506328897</v>
      </c>
      <c r="S79" s="135">
        <f t="shared" si="4"/>
        <v>0.39058025506328897</v>
      </c>
      <c r="T79" s="135">
        <f t="shared" si="4"/>
        <v>0.39058025506328897</v>
      </c>
      <c r="U79" s="135">
        <f t="shared" si="4"/>
        <v>0.39058025506328897</v>
      </c>
      <c r="V79" s="135">
        <f t="shared" si="4"/>
        <v>0.39058025506328897</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0.39058025506328897</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162</v>
      </c>
      <c r="G80" t="s">
        <v>168</v>
      </c>
      <c r="H80" s="41"/>
      <c r="J80" s="135">
        <f t="shared" ref="J80:AO80" si="5">INDEX($J62:$Y62,J$54)</f>
        <v>0.39058025506328897</v>
      </c>
      <c r="K80" s="135">
        <f t="shared" si="5"/>
        <v>0.39058025506328897</v>
      </c>
      <c r="L80" s="135">
        <f t="shared" si="5"/>
        <v>0.39058025506328897</v>
      </c>
      <c r="M80" s="135">
        <f t="shared" si="5"/>
        <v>0.39058025506328897</v>
      </c>
      <c r="N80" s="135">
        <f t="shared" si="5"/>
        <v>0.39058025506328897</v>
      </c>
      <c r="O80" s="135">
        <f t="shared" si="5"/>
        <v>0.39058025506328897</v>
      </c>
      <c r="P80" s="135">
        <f t="shared" si="5"/>
        <v>0.39058025506328897</v>
      </c>
      <c r="Q80" s="135">
        <f t="shared" si="5"/>
        <v>0.39058025506328897</v>
      </c>
      <c r="R80" s="135">
        <f t="shared" si="5"/>
        <v>0.39058025506328897</v>
      </c>
      <c r="S80" s="135">
        <f t="shared" si="5"/>
        <v>0.39058025506328897</v>
      </c>
      <c r="T80" s="135">
        <f t="shared" si="5"/>
        <v>0.39058025506328897</v>
      </c>
      <c r="U80" s="135">
        <f t="shared" si="5"/>
        <v>0.39058025506328897</v>
      </c>
      <c r="V80" s="135">
        <f t="shared" si="5"/>
        <v>0.39058025506328897</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0.39058025506328897</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163</v>
      </c>
      <c r="G81" s="28" t="s">
        <v>168</v>
      </c>
      <c r="H81" s="201"/>
      <c r="I81" s="28"/>
      <c r="J81" s="145">
        <f t="shared" ref="J81:AO81" si="6">INDEX($J63:$Y63,J$54)</f>
        <v>0.39058025506328897</v>
      </c>
      <c r="K81" s="145">
        <f t="shared" si="6"/>
        <v>0.39058025506328897</v>
      </c>
      <c r="L81" s="145">
        <f t="shared" si="6"/>
        <v>0.39058025506328897</v>
      </c>
      <c r="M81" s="145">
        <f t="shared" si="6"/>
        <v>0.39058025506328897</v>
      </c>
      <c r="N81" s="145">
        <f t="shared" si="6"/>
        <v>0.39058025506328897</v>
      </c>
      <c r="O81" s="145">
        <f t="shared" si="6"/>
        <v>0.39058025506328897</v>
      </c>
      <c r="P81" s="145">
        <f t="shared" si="6"/>
        <v>0.39058025506328897</v>
      </c>
      <c r="Q81" s="145">
        <f t="shared" si="6"/>
        <v>0.39058025506328897</v>
      </c>
      <c r="R81" s="145">
        <f t="shared" si="6"/>
        <v>0.39058025506328897</v>
      </c>
      <c r="S81" s="145">
        <f t="shared" si="6"/>
        <v>0.39058025506328897</v>
      </c>
      <c r="T81" s="145">
        <f t="shared" si="6"/>
        <v>0.39058025506328897</v>
      </c>
      <c r="U81" s="145">
        <f t="shared" si="6"/>
        <v>0.39058025506328897</v>
      </c>
      <c r="V81" s="145">
        <f t="shared" si="6"/>
        <v>0.39058025506328897</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0.39058025506328897</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155</v>
      </c>
      <c r="AQ83" t="s">
        <v>427</v>
      </c>
    </row>
    <row r="84" spans="3:43" x14ac:dyDescent="0.25">
      <c r="D84"/>
      <c r="E84" s="78"/>
      <c r="F84" s="19" t="s">
        <v>157</v>
      </c>
      <c r="G84" s="19" t="s">
        <v>168</v>
      </c>
      <c r="H84" s="164"/>
      <c r="I84" s="19"/>
      <c r="J84" s="144">
        <f>INDEX($J66:$Y66,J$54)</f>
        <v>0.5844622071010992</v>
      </c>
      <c r="K84" s="144">
        <f t="shared" ref="K84:AO84" si="7">INDEX($J66:$Y66,K$54)</f>
        <v>0.5844622071010992</v>
      </c>
      <c r="L84" s="144">
        <f t="shared" si="7"/>
        <v>0.5844622071010992</v>
      </c>
      <c r="M84" s="144">
        <f t="shared" si="7"/>
        <v>0.5844622071010992</v>
      </c>
      <c r="N84" s="144">
        <f t="shared" si="7"/>
        <v>0.5844622071010992</v>
      </c>
      <c r="O84" s="144">
        <f t="shared" si="7"/>
        <v>0.5844622071010992</v>
      </c>
      <c r="P84" s="144">
        <f t="shared" si="7"/>
        <v>0.5844622071010992</v>
      </c>
      <c r="Q84" s="144">
        <f t="shared" si="7"/>
        <v>0.5844622071010992</v>
      </c>
      <c r="R84" s="144">
        <f t="shared" si="7"/>
        <v>0.5844622071010992</v>
      </c>
      <c r="S84" s="144">
        <f t="shared" si="7"/>
        <v>0.5844622071010992</v>
      </c>
      <c r="T84" s="144">
        <f t="shared" si="7"/>
        <v>0.5844622071010992</v>
      </c>
      <c r="U84" s="144">
        <f t="shared" si="7"/>
        <v>0.5844622071010992</v>
      </c>
      <c r="V84" s="144">
        <f t="shared" si="7"/>
        <v>0.5844622071010992</v>
      </c>
      <c r="W84" s="144">
        <f t="shared" si="7"/>
        <v>0.30237542617520075</v>
      </c>
      <c r="X84" s="144">
        <f t="shared" si="7"/>
        <v>0.30237542617520075</v>
      </c>
      <c r="Y84" s="144">
        <f t="shared" si="7"/>
        <v>0.30237542617520075</v>
      </c>
      <c r="Z84" s="144">
        <f t="shared" si="7"/>
        <v>0.30237542617520075</v>
      </c>
      <c r="AA84" s="144">
        <f t="shared" si="7"/>
        <v>0.30237542617520075</v>
      </c>
      <c r="AB84" s="144">
        <f t="shared" si="7"/>
        <v>0.17250073175528055</v>
      </c>
      <c r="AC84" s="144">
        <f t="shared" si="7"/>
        <v>0.17250073175528055</v>
      </c>
      <c r="AD84" s="144">
        <f t="shared" si="7"/>
        <v>0.17250073175528055</v>
      </c>
      <c r="AE84" s="144">
        <f t="shared" si="7"/>
        <v>0.17250073175528055</v>
      </c>
      <c r="AF84" s="144">
        <f t="shared" si="7"/>
        <v>0.17250073175528055</v>
      </c>
      <c r="AG84" s="144">
        <f t="shared" si="7"/>
        <v>0.5844622071010992</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158</v>
      </c>
      <c r="G85" t="s">
        <v>168</v>
      </c>
      <c r="H85" s="41"/>
      <c r="J85" s="135">
        <f t="shared" ref="J85:AO85" si="8">INDEX($J67:$Y67,J$54)</f>
        <v>0.5844622071010992</v>
      </c>
      <c r="K85" s="135">
        <f t="shared" si="8"/>
        <v>0.5844622071010992</v>
      </c>
      <c r="L85" s="135">
        <f t="shared" si="8"/>
        <v>0.5844622071010992</v>
      </c>
      <c r="M85" s="135">
        <f t="shared" si="8"/>
        <v>0.5844622071010992</v>
      </c>
      <c r="N85" s="135">
        <f t="shared" si="8"/>
        <v>0.5844622071010992</v>
      </c>
      <c r="O85" s="135">
        <f t="shared" si="8"/>
        <v>0.5844622071010992</v>
      </c>
      <c r="P85" s="135">
        <f t="shared" si="8"/>
        <v>0.5844622071010992</v>
      </c>
      <c r="Q85" s="135">
        <f t="shared" si="8"/>
        <v>0.5844622071010992</v>
      </c>
      <c r="R85" s="135">
        <f t="shared" si="8"/>
        <v>0.5844622071010992</v>
      </c>
      <c r="S85" s="135">
        <f t="shared" si="8"/>
        <v>0.5844622071010992</v>
      </c>
      <c r="T85" s="135">
        <f t="shared" si="8"/>
        <v>0.5844622071010992</v>
      </c>
      <c r="U85" s="135">
        <f t="shared" si="8"/>
        <v>0.5844622071010992</v>
      </c>
      <c r="V85" s="135">
        <f t="shared" si="8"/>
        <v>0.5844622071010992</v>
      </c>
      <c r="W85" s="135">
        <f t="shared" si="8"/>
        <v>0.30237542617520075</v>
      </c>
      <c r="X85" s="135">
        <f t="shared" si="8"/>
        <v>0.30237542617520075</v>
      </c>
      <c r="Y85" s="135">
        <f t="shared" si="8"/>
        <v>0.30237542617520075</v>
      </c>
      <c r="Z85" s="135">
        <f t="shared" si="8"/>
        <v>0.30237542617520075</v>
      </c>
      <c r="AA85" s="135">
        <f t="shared" si="8"/>
        <v>0.30237542617520075</v>
      </c>
      <c r="AB85" s="135">
        <f t="shared" si="8"/>
        <v>0.17250073175528055</v>
      </c>
      <c r="AC85" s="135">
        <f t="shared" si="8"/>
        <v>0.17250073175528055</v>
      </c>
      <c r="AD85" s="135">
        <f t="shared" si="8"/>
        <v>0.17250073175528055</v>
      </c>
      <c r="AE85" s="135">
        <f t="shared" si="8"/>
        <v>0.17250073175528055</v>
      </c>
      <c r="AF85" s="135">
        <f t="shared" si="8"/>
        <v>0.17250073175528055</v>
      </c>
      <c r="AG85" s="135">
        <f t="shared" si="8"/>
        <v>0.5844622071010992</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159</v>
      </c>
      <c r="G86" t="s">
        <v>168</v>
      </c>
      <c r="H86" s="41"/>
      <c r="J86" s="135">
        <f t="shared" ref="J86:AO86" si="9">INDEX($J68:$Y68,J$54)</f>
        <v>0.5844622071010992</v>
      </c>
      <c r="K86" s="135">
        <f t="shared" si="9"/>
        <v>0.5844622071010992</v>
      </c>
      <c r="L86" s="135">
        <f t="shared" si="9"/>
        <v>0.5844622071010992</v>
      </c>
      <c r="M86" s="135">
        <f t="shared" si="9"/>
        <v>0.5844622071010992</v>
      </c>
      <c r="N86" s="135">
        <f t="shared" si="9"/>
        <v>0.5844622071010992</v>
      </c>
      <c r="O86" s="135">
        <f t="shared" si="9"/>
        <v>0.5844622071010992</v>
      </c>
      <c r="P86" s="135">
        <f t="shared" si="9"/>
        <v>0.5844622071010992</v>
      </c>
      <c r="Q86" s="135">
        <f t="shared" si="9"/>
        <v>0.5844622071010992</v>
      </c>
      <c r="R86" s="135">
        <f t="shared" si="9"/>
        <v>0.5844622071010992</v>
      </c>
      <c r="S86" s="135">
        <f t="shared" si="9"/>
        <v>0.5844622071010992</v>
      </c>
      <c r="T86" s="135">
        <f t="shared" si="9"/>
        <v>0.5844622071010992</v>
      </c>
      <c r="U86" s="135">
        <f t="shared" si="9"/>
        <v>0.5844622071010992</v>
      </c>
      <c r="V86" s="135">
        <f t="shared" si="9"/>
        <v>0.5844622071010992</v>
      </c>
      <c r="W86" s="135">
        <f t="shared" si="9"/>
        <v>0.30237542617520075</v>
      </c>
      <c r="X86" s="135">
        <f t="shared" si="9"/>
        <v>0.30237542617520075</v>
      </c>
      <c r="Y86" s="135">
        <f t="shared" si="9"/>
        <v>0.30237542617520075</v>
      </c>
      <c r="Z86" s="135">
        <f t="shared" si="9"/>
        <v>0.30237542617520075</v>
      </c>
      <c r="AA86" s="135">
        <f t="shared" si="9"/>
        <v>0.30237542617520075</v>
      </c>
      <c r="AB86" s="135">
        <f t="shared" si="9"/>
        <v>0.17250073175528055</v>
      </c>
      <c r="AC86" s="135">
        <f t="shared" si="9"/>
        <v>0.17250073175528055</v>
      </c>
      <c r="AD86" s="135">
        <f t="shared" si="9"/>
        <v>0.17250073175528055</v>
      </c>
      <c r="AE86" s="135">
        <f t="shared" si="9"/>
        <v>0.17250073175528055</v>
      </c>
      <c r="AF86" s="135">
        <f t="shared" si="9"/>
        <v>0.17250073175528055</v>
      </c>
      <c r="AG86" s="135">
        <f t="shared" si="9"/>
        <v>0.5844622071010992</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160</v>
      </c>
      <c r="G87" t="s">
        <v>168</v>
      </c>
      <c r="H87" s="41"/>
      <c r="J87" s="135">
        <f t="shared" ref="J87:AO87" si="10">INDEX($J69:$Y69,J$54)</f>
        <v>0.5844622071010992</v>
      </c>
      <c r="K87" s="135">
        <f t="shared" si="10"/>
        <v>0.5844622071010992</v>
      </c>
      <c r="L87" s="135">
        <f t="shared" si="10"/>
        <v>0.5844622071010992</v>
      </c>
      <c r="M87" s="135">
        <f t="shared" si="10"/>
        <v>0.5844622071010992</v>
      </c>
      <c r="N87" s="135">
        <f t="shared" si="10"/>
        <v>0.5844622071010992</v>
      </c>
      <c r="O87" s="135">
        <f t="shared" si="10"/>
        <v>0.5844622071010992</v>
      </c>
      <c r="P87" s="135">
        <f t="shared" si="10"/>
        <v>0.5844622071010992</v>
      </c>
      <c r="Q87" s="135">
        <f t="shared" si="10"/>
        <v>0.5844622071010992</v>
      </c>
      <c r="R87" s="135">
        <f t="shared" si="10"/>
        <v>0.5844622071010992</v>
      </c>
      <c r="S87" s="135">
        <f t="shared" si="10"/>
        <v>0.5844622071010992</v>
      </c>
      <c r="T87" s="135">
        <f t="shared" si="10"/>
        <v>0.5844622071010992</v>
      </c>
      <c r="U87" s="135">
        <f t="shared" si="10"/>
        <v>0.5844622071010992</v>
      </c>
      <c r="V87" s="135">
        <f t="shared" si="10"/>
        <v>0.5844622071010992</v>
      </c>
      <c r="W87" s="135">
        <f t="shared" si="10"/>
        <v>0.30237542617520075</v>
      </c>
      <c r="X87" s="135">
        <f t="shared" si="10"/>
        <v>0.30237542617520075</v>
      </c>
      <c r="Y87" s="135">
        <f t="shared" si="10"/>
        <v>0.30237542617520075</v>
      </c>
      <c r="Z87" s="135">
        <f t="shared" si="10"/>
        <v>0.30237542617520075</v>
      </c>
      <c r="AA87" s="135">
        <f t="shared" si="10"/>
        <v>0.30237542617520075</v>
      </c>
      <c r="AB87" s="135">
        <f t="shared" si="10"/>
        <v>0.17250073175528055</v>
      </c>
      <c r="AC87" s="135">
        <f t="shared" si="10"/>
        <v>0.17250073175528055</v>
      </c>
      <c r="AD87" s="135">
        <f t="shared" si="10"/>
        <v>0.17250073175528055</v>
      </c>
      <c r="AE87" s="135">
        <f t="shared" si="10"/>
        <v>0.17250073175528055</v>
      </c>
      <c r="AF87" s="135">
        <f t="shared" si="10"/>
        <v>0.17250073175528055</v>
      </c>
      <c r="AG87" s="135">
        <f t="shared" si="10"/>
        <v>0.5844622071010992</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161</v>
      </c>
      <c r="G88" t="s">
        <v>168</v>
      </c>
      <c r="H88" s="41"/>
      <c r="J88" s="135">
        <f t="shared" ref="J88:AO88" si="11">INDEX($J70:$Y70,J$54)</f>
        <v>0.5844622071010992</v>
      </c>
      <c r="K88" s="135">
        <f t="shared" si="11"/>
        <v>0.5844622071010992</v>
      </c>
      <c r="L88" s="135">
        <f t="shared" si="11"/>
        <v>0.5844622071010992</v>
      </c>
      <c r="M88" s="135">
        <f t="shared" si="11"/>
        <v>0.5844622071010992</v>
      </c>
      <c r="N88" s="135">
        <f t="shared" si="11"/>
        <v>0.5844622071010992</v>
      </c>
      <c r="O88" s="135">
        <f t="shared" si="11"/>
        <v>0.5844622071010992</v>
      </c>
      <c r="P88" s="135">
        <f t="shared" si="11"/>
        <v>0.5844622071010992</v>
      </c>
      <c r="Q88" s="135">
        <f t="shared" si="11"/>
        <v>0.5844622071010992</v>
      </c>
      <c r="R88" s="135">
        <f t="shared" si="11"/>
        <v>0.5844622071010992</v>
      </c>
      <c r="S88" s="135">
        <f t="shared" si="11"/>
        <v>0.5844622071010992</v>
      </c>
      <c r="T88" s="135">
        <f t="shared" si="11"/>
        <v>0.5844622071010992</v>
      </c>
      <c r="U88" s="135">
        <f t="shared" si="11"/>
        <v>0.5844622071010992</v>
      </c>
      <c r="V88" s="135">
        <f t="shared" si="11"/>
        <v>0.5844622071010992</v>
      </c>
      <c r="W88" s="135">
        <f t="shared" si="11"/>
        <v>0.30237542617520075</v>
      </c>
      <c r="X88" s="135">
        <f t="shared" si="11"/>
        <v>0.30237542617520075</v>
      </c>
      <c r="Y88" s="135">
        <f t="shared" si="11"/>
        <v>0.30237542617520075</v>
      </c>
      <c r="Z88" s="135">
        <f t="shared" si="11"/>
        <v>0.30237542617520075</v>
      </c>
      <c r="AA88" s="135">
        <f t="shared" si="11"/>
        <v>0.30237542617520075</v>
      </c>
      <c r="AB88" s="135">
        <f t="shared" si="11"/>
        <v>0.17250073175528055</v>
      </c>
      <c r="AC88" s="135">
        <f t="shared" si="11"/>
        <v>0.17250073175528055</v>
      </c>
      <c r="AD88" s="135">
        <f t="shared" si="11"/>
        <v>0.17250073175528055</v>
      </c>
      <c r="AE88" s="135">
        <f t="shared" si="11"/>
        <v>0.17250073175528055</v>
      </c>
      <c r="AF88" s="135">
        <f t="shared" si="11"/>
        <v>0.17250073175528055</v>
      </c>
      <c r="AG88" s="135">
        <f t="shared" si="11"/>
        <v>0.5844622071010992</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162</v>
      </c>
      <c r="G89" t="s">
        <v>168</v>
      </c>
      <c r="H89" s="41"/>
      <c r="J89" s="135">
        <f t="shared" ref="J89:AO89" si="12">INDEX($J71:$Y71,J$54)</f>
        <v>0.5844622071010992</v>
      </c>
      <c r="K89" s="135">
        <f t="shared" si="12"/>
        <v>0.5844622071010992</v>
      </c>
      <c r="L89" s="135">
        <f t="shared" si="12"/>
        <v>0.5844622071010992</v>
      </c>
      <c r="M89" s="135">
        <f t="shared" si="12"/>
        <v>0.5844622071010992</v>
      </c>
      <c r="N89" s="135">
        <f t="shared" si="12"/>
        <v>0.5844622071010992</v>
      </c>
      <c r="O89" s="135">
        <f t="shared" si="12"/>
        <v>0.5844622071010992</v>
      </c>
      <c r="P89" s="135">
        <f t="shared" si="12"/>
        <v>0.5844622071010992</v>
      </c>
      <c r="Q89" s="135">
        <f t="shared" si="12"/>
        <v>0.5844622071010992</v>
      </c>
      <c r="R89" s="135">
        <f t="shared" si="12"/>
        <v>0.5844622071010992</v>
      </c>
      <c r="S89" s="135">
        <f t="shared" si="12"/>
        <v>0.5844622071010992</v>
      </c>
      <c r="T89" s="135">
        <f t="shared" si="12"/>
        <v>0.5844622071010992</v>
      </c>
      <c r="U89" s="135">
        <f t="shared" si="12"/>
        <v>0.5844622071010992</v>
      </c>
      <c r="V89" s="135">
        <f t="shared" si="12"/>
        <v>0.5844622071010992</v>
      </c>
      <c r="W89" s="135">
        <f t="shared" si="12"/>
        <v>0.30237542617520075</v>
      </c>
      <c r="X89" s="135">
        <f t="shared" si="12"/>
        <v>0.30237542617520075</v>
      </c>
      <c r="Y89" s="135">
        <f t="shared" si="12"/>
        <v>0.30237542617520075</v>
      </c>
      <c r="Z89" s="135">
        <f t="shared" si="12"/>
        <v>0.30237542617520075</v>
      </c>
      <c r="AA89" s="135">
        <f t="shared" si="12"/>
        <v>0.30237542617520075</v>
      </c>
      <c r="AB89" s="135">
        <f t="shared" si="12"/>
        <v>0.17250073175528055</v>
      </c>
      <c r="AC89" s="135">
        <f t="shared" si="12"/>
        <v>0.17250073175528055</v>
      </c>
      <c r="AD89" s="135">
        <f t="shared" si="12"/>
        <v>0.17250073175528055</v>
      </c>
      <c r="AE89" s="135">
        <f t="shared" si="12"/>
        <v>0.17250073175528055</v>
      </c>
      <c r="AF89" s="135">
        <f t="shared" si="12"/>
        <v>0.17250073175528055</v>
      </c>
      <c r="AG89" s="135">
        <f t="shared" si="12"/>
        <v>0.5844622071010992</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163</v>
      </c>
      <c r="G90" s="28" t="s">
        <v>168</v>
      </c>
      <c r="H90" s="201"/>
      <c r="I90" s="28"/>
      <c r="J90" s="145">
        <f t="shared" ref="J90:AO90" si="13">INDEX($J72:$Y72,J$54)</f>
        <v>0.5844622071010992</v>
      </c>
      <c r="K90" s="145">
        <f t="shared" si="13"/>
        <v>0.5844622071010992</v>
      </c>
      <c r="L90" s="145">
        <f t="shared" si="13"/>
        <v>0.5844622071010992</v>
      </c>
      <c r="M90" s="145">
        <f t="shared" si="13"/>
        <v>0.5844622071010992</v>
      </c>
      <c r="N90" s="145">
        <f t="shared" si="13"/>
        <v>0.5844622071010992</v>
      </c>
      <c r="O90" s="145">
        <f t="shared" si="13"/>
        <v>0.5844622071010992</v>
      </c>
      <c r="P90" s="145">
        <f t="shared" si="13"/>
        <v>0.5844622071010992</v>
      </c>
      <c r="Q90" s="145">
        <f t="shared" si="13"/>
        <v>0.5844622071010992</v>
      </c>
      <c r="R90" s="145">
        <f t="shared" si="13"/>
        <v>0.5844622071010992</v>
      </c>
      <c r="S90" s="145">
        <f t="shared" si="13"/>
        <v>0.5844622071010992</v>
      </c>
      <c r="T90" s="145">
        <f t="shared" si="13"/>
        <v>0.5844622071010992</v>
      </c>
      <c r="U90" s="145">
        <f t="shared" si="13"/>
        <v>0.5844622071010992</v>
      </c>
      <c r="V90" s="145">
        <f t="shared" si="13"/>
        <v>0.5844622071010992</v>
      </c>
      <c r="W90" s="145">
        <f t="shared" si="13"/>
        <v>0.30237542617520075</v>
      </c>
      <c r="X90" s="145">
        <f t="shared" si="13"/>
        <v>0.30237542617520075</v>
      </c>
      <c r="Y90" s="145">
        <f t="shared" si="13"/>
        <v>0.30237542617520075</v>
      </c>
      <c r="Z90" s="145">
        <f t="shared" si="13"/>
        <v>0.30237542617520075</v>
      </c>
      <c r="AA90" s="145">
        <f t="shared" si="13"/>
        <v>0.30237542617520075</v>
      </c>
      <c r="AB90" s="145">
        <f t="shared" si="13"/>
        <v>0.17250073175528055</v>
      </c>
      <c r="AC90" s="145">
        <f t="shared" si="13"/>
        <v>0.17250073175528055</v>
      </c>
      <c r="AD90" s="145">
        <f t="shared" si="13"/>
        <v>0.17250073175528055</v>
      </c>
      <c r="AE90" s="145">
        <f t="shared" si="13"/>
        <v>0.17250073175528055</v>
      </c>
      <c r="AF90" s="145">
        <f t="shared" si="13"/>
        <v>0.17250073175528055</v>
      </c>
      <c r="AG90" s="145">
        <f t="shared" si="13"/>
        <v>0.5844622071010992</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155</v>
      </c>
      <c r="AQ94" t="s">
        <v>156</v>
      </c>
    </row>
    <row r="95" spans="3:43" x14ac:dyDescent="0.25">
      <c r="C95" s="78"/>
      <c r="F95" s="19" t="s">
        <v>157</v>
      </c>
      <c r="G95" s="19" t="s">
        <v>150</v>
      </c>
      <c r="H95" s="164">
        <f>'Fixed inputs'!H25</f>
        <v>3</v>
      </c>
    </row>
    <row r="96" spans="3:43" x14ac:dyDescent="0.25">
      <c r="C96" s="78"/>
      <c r="F96" t="s">
        <v>158</v>
      </c>
      <c r="G96" t="s">
        <v>150</v>
      </c>
      <c r="H96" s="41">
        <f>'Fixed inputs'!H26</f>
        <v>3</v>
      </c>
    </row>
    <row r="97" spans="2:43" x14ac:dyDescent="0.25">
      <c r="C97" s="78"/>
      <c r="F97" t="s">
        <v>159</v>
      </c>
      <c r="G97" t="s">
        <v>150</v>
      </c>
      <c r="H97" s="41">
        <f>'Fixed inputs'!H27</f>
        <v>3</v>
      </c>
    </row>
    <row r="98" spans="2:43" x14ac:dyDescent="0.25">
      <c r="C98" s="78"/>
      <c r="F98" t="s">
        <v>160</v>
      </c>
      <c r="G98" t="s">
        <v>150</v>
      </c>
      <c r="H98" s="41">
        <f>'Fixed inputs'!H28</f>
        <v>2</v>
      </c>
    </row>
    <row r="99" spans="2:43" x14ac:dyDescent="0.25">
      <c r="C99" s="78"/>
      <c r="F99" t="s">
        <v>161</v>
      </c>
      <c r="G99" t="s">
        <v>150</v>
      </c>
      <c r="H99" s="41">
        <f>'Fixed inputs'!H29</f>
        <v>2</v>
      </c>
    </row>
    <row r="100" spans="2:43" x14ac:dyDescent="0.25">
      <c r="C100" s="78"/>
      <c r="F100" t="s">
        <v>162</v>
      </c>
      <c r="G100" t="s">
        <v>150</v>
      </c>
      <c r="H100" s="41">
        <f>'Fixed inputs'!H30</f>
        <v>2</v>
      </c>
    </row>
    <row r="101" spans="2:43" x14ac:dyDescent="0.25">
      <c r="C101" s="78"/>
      <c r="F101" s="28" t="s">
        <v>163</v>
      </c>
      <c r="G101" s="28" t="s">
        <v>150</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157</v>
      </c>
      <c r="G110" s="19" t="s">
        <v>270</v>
      </c>
      <c r="H110" s="267"/>
      <c r="I110" s="255"/>
      <c r="J110" s="270">
        <f xml:space="preserve"> J20 + J32</f>
        <v>15.165099534575806</v>
      </c>
      <c r="K110" s="270">
        <f t="shared" ref="K110:AO110" si="14" xml:space="preserve"> K20 + K32</f>
        <v>15.165099534575806</v>
      </c>
      <c r="L110" s="270">
        <f t="shared" si="14"/>
        <v>16.257004512876239</v>
      </c>
      <c r="M110" s="270">
        <f t="shared" si="14"/>
        <v>16.257004512876239</v>
      </c>
      <c r="N110" s="270">
        <f t="shared" si="14"/>
        <v>16.257004512876239</v>
      </c>
      <c r="O110" s="270">
        <f t="shared" si="14"/>
        <v>16.257004512876239</v>
      </c>
      <c r="P110" s="270">
        <f t="shared" si="14"/>
        <v>16.257004512876239</v>
      </c>
      <c r="Q110" s="270">
        <f t="shared" si="14"/>
        <v>16.257004512876239</v>
      </c>
      <c r="R110" s="270">
        <f t="shared" si="14"/>
        <v>10.983038407396837</v>
      </c>
      <c r="S110" s="270">
        <f t="shared" si="14"/>
        <v>10.983038407396837</v>
      </c>
      <c r="T110" s="270">
        <f t="shared" si="14"/>
        <v>10.983038407396837</v>
      </c>
      <c r="U110" s="270">
        <f t="shared" si="14"/>
        <v>10.983038407396837</v>
      </c>
      <c r="V110" s="270">
        <f t="shared" si="14"/>
        <v>10.983038407396837</v>
      </c>
      <c r="W110" s="270">
        <f t="shared" si="14"/>
        <v>8.013422834799643</v>
      </c>
      <c r="X110" s="270">
        <f t="shared" si="14"/>
        <v>8.013422834799643</v>
      </c>
      <c r="Y110" s="270">
        <f t="shared" si="14"/>
        <v>8.013422834799643</v>
      </c>
      <c r="Z110" s="270">
        <f t="shared" si="14"/>
        <v>8.013422834799643</v>
      </c>
      <c r="AA110" s="270">
        <f t="shared" si="14"/>
        <v>8.013422834799643</v>
      </c>
      <c r="AB110" s="270">
        <f t="shared" si="14"/>
        <v>5.646996018679137</v>
      </c>
      <c r="AC110" s="270">
        <f t="shared" si="14"/>
        <v>5.646996018679137</v>
      </c>
      <c r="AD110" s="270">
        <f t="shared" si="14"/>
        <v>5.646996018679137</v>
      </c>
      <c r="AE110" s="270">
        <f t="shared" si="14"/>
        <v>5.646996018679137</v>
      </c>
      <c r="AF110" s="270">
        <f t="shared" si="14"/>
        <v>5.646996018679137</v>
      </c>
      <c r="AG110" s="270">
        <f t="shared" si="14"/>
        <v>44.210860588807485</v>
      </c>
      <c r="AH110" s="270">
        <f t="shared" si="14"/>
        <v>-10.399682892504964</v>
      </c>
      <c r="AI110" s="270">
        <f t="shared" si="14"/>
        <v>-9.3206261710908951</v>
      </c>
      <c r="AJ110" s="270">
        <f t="shared" si="14"/>
        <v>-10.399682892504964</v>
      </c>
      <c r="AK110" s="270">
        <f t="shared" si="14"/>
        <v>-10.399682892504964</v>
      </c>
      <c r="AL110" s="270">
        <f t="shared" si="14"/>
        <v>-9.3206261710908951</v>
      </c>
      <c r="AM110" s="270">
        <f t="shared" si="14"/>
        <v>-9.3206261710908951</v>
      </c>
      <c r="AN110" s="270">
        <f t="shared" si="14"/>
        <v>-5.9269683096045114</v>
      </c>
      <c r="AO110" s="270">
        <f t="shared" si="14"/>
        <v>-5.9269683096045114</v>
      </c>
      <c r="AP110" s="256"/>
      <c r="AQ110" s="256"/>
    </row>
    <row r="111" spans="2:43" x14ac:dyDescent="0.25">
      <c r="D111"/>
      <c r="E111" s="78"/>
      <c r="F111" t="s">
        <v>158</v>
      </c>
      <c r="G111" t="s">
        <v>270</v>
      </c>
      <c r="H111" s="268"/>
      <c r="I111" s="256"/>
      <c r="J111" s="271">
        <f t="shared" ref="J111" si="15" xml:space="preserve"> J21 + J33</f>
        <v>0.75809611326930659</v>
      </c>
      <c r="K111" s="271">
        <f t="shared" ref="K111:AO111" si="16" xml:space="preserve"> K21 + K33</f>
        <v>0.75809611326930659</v>
      </c>
      <c r="L111" s="271">
        <f t="shared" si="16"/>
        <v>0.81267992382865617</v>
      </c>
      <c r="M111" s="271">
        <f t="shared" si="16"/>
        <v>0.81267992382865617</v>
      </c>
      <c r="N111" s="271">
        <f t="shared" si="16"/>
        <v>0.81267992382865617</v>
      </c>
      <c r="O111" s="271">
        <f t="shared" si="16"/>
        <v>0.81267992382865617</v>
      </c>
      <c r="P111" s="271">
        <f t="shared" si="16"/>
        <v>0.81267992382865617</v>
      </c>
      <c r="Q111" s="271">
        <f t="shared" si="16"/>
        <v>0.81267992382865617</v>
      </c>
      <c r="R111" s="271">
        <f t="shared" si="16"/>
        <v>0.49946772809417317</v>
      </c>
      <c r="S111" s="271">
        <f t="shared" si="16"/>
        <v>0.49946772809417317</v>
      </c>
      <c r="T111" s="271">
        <f t="shared" si="16"/>
        <v>0.49946772809417317</v>
      </c>
      <c r="U111" s="271">
        <f t="shared" si="16"/>
        <v>0.49946772809417317</v>
      </c>
      <c r="V111" s="271">
        <f t="shared" si="16"/>
        <v>0.49946772809417317</v>
      </c>
      <c r="W111" s="271">
        <f t="shared" si="16"/>
        <v>0.28526570901067577</v>
      </c>
      <c r="X111" s="271">
        <f t="shared" si="16"/>
        <v>0.28526570901067577</v>
      </c>
      <c r="Y111" s="271">
        <f t="shared" si="16"/>
        <v>0.28526570901067577</v>
      </c>
      <c r="Z111" s="271">
        <f t="shared" si="16"/>
        <v>0.28526570901067577</v>
      </c>
      <c r="AA111" s="271">
        <f t="shared" si="16"/>
        <v>0.28526570901067577</v>
      </c>
      <c r="AB111" s="271">
        <f t="shared" si="16"/>
        <v>0.15258463627516752</v>
      </c>
      <c r="AC111" s="271">
        <f t="shared" si="16"/>
        <v>0.15258463627516752</v>
      </c>
      <c r="AD111" s="271">
        <f t="shared" si="16"/>
        <v>0.15258463627516752</v>
      </c>
      <c r="AE111" s="271">
        <f t="shared" si="16"/>
        <v>0.15258463627516752</v>
      </c>
      <c r="AF111" s="271">
        <f t="shared" si="16"/>
        <v>0.15258463627516752</v>
      </c>
      <c r="AG111" s="271">
        <f t="shared" si="16"/>
        <v>4.4937848329022199</v>
      </c>
      <c r="AH111" s="271">
        <f t="shared" si="16"/>
        <v>-0.51987520174636581</v>
      </c>
      <c r="AI111" s="271">
        <f t="shared" si="16"/>
        <v>-0.44045574218544947</v>
      </c>
      <c r="AJ111" s="271">
        <f t="shared" si="16"/>
        <v>-0.51987520174636581</v>
      </c>
      <c r="AK111" s="271">
        <f t="shared" si="16"/>
        <v>-0.51987520174636581</v>
      </c>
      <c r="AL111" s="271">
        <f t="shared" si="16"/>
        <v>-0.44045574218544947</v>
      </c>
      <c r="AM111" s="271">
        <f t="shared" si="16"/>
        <v>-0.44045574218544947</v>
      </c>
      <c r="AN111" s="271">
        <f t="shared" si="16"/>
        <v>-0.19140970918040676</v>
      </c>
      <c r="AO111" s="271">
        <f t="shared" si="16"/>
        <v>-0.19140970918040676</v>
      </c>
      <c r="AP111" s="256"/>
      <c r="AQ111" s="256"/>
    </row>
    <row r="112" spans="2:43" x14ac:dyDescent="0.25">
      <c r="D112"/>
      <c r="E112" s="78"/>
      <c r="F112" t="s">
        <v>159</v>
      </c>
      <c r="G112" t="s">
        <v>270</v>
      </c>
      <c r="H112" s="268"/>
      <c r="I112" s="256"/>
      <c r="J112" s="271">
        <f t="shared" ref="J112" si="17" xml:space="preserve"> J22 + J34</f>
        <v>5.3613031602575995E-2</v>
      </c>
      <c r="K112" s="271">
        <f t="shared" ref="K112:AO112" si="18" xml:space="preserve"> K22 + K34</f>
        <v>5.3613031602575995E-2</v>
      </c>
      <c r="L112" s="271">
        <f t="shared" si="18"/>
        <v>5.7473232847886774E-2</v>
      </c>
      <c r="M112" s="271">
        <f t="shared" si="18"/>
        <v>5.7473232847886774E-2</v>
      </c>
      <c r="N112" s="271">
        <f t="shared" si="18"/>
        <v>5.7473232847886774E-2</v>
      </c>
      <c r="O112" s="271">
        <f t="shared" si="18"/>
        <v>5.7473232847886774E-2</v>
      </c>
      <c r="P112" s="271">
        <f t="shared" si="18"/>
        <v>5.7473232847886774E-2</v>
      </c>
      <c r="Q112" s="271">
        <f t="shared" si="18"/>
        <v>5.7473232847886774E-2</v>
      </c>
      <c r="R112" s="271">
        <f t="shared" si="18"/>
        <v>3.3558949876465571E-2</v>
      </c>
      <c r="S112" s="271">
        <f t="shared" si="18"/>
        <v>3.3558949876465571E-2</v>
      </c>
      <c r="T112" s="271">
        <f t="shared" si="18"/>
        <v>3.3558949876465571E-2</v>
      </c>
      <c r="U112" s="271">
        <f t="shared" si="18"/>
        <v>3.3558949876465571E-2</v>
      </c>
      <c r="V112" s="271">
        <f t="shared" si="18"/>
        <v>3.3558949876465571E-2</v>
      </c>
      <c r="W112" s="271">
        <f t="shared" si="18"/>
        <v>1.6070913442792111E-2</v>
      </c>
      <c r="X112" s="271">
        <f t="shared" si="18"/>
        <v>1.6070913442792111E-2</v>
      </c>
      <c r="Y112" s="271">
        <f t="shared" si="18"/>
        <v>1.6070913442792111E-2</v>
      </c>
      <c r="Z112" s="271">
        <f t="shared" si="18"/>
        <v>1.6070913442792111E-2</v>
      </c>
      <c r="AA112" s="271">
        <f t="shared" si="18"/>
        <v>1.6070913442792111E-2</v>
      </c>
      <c r="AB112" s="271">
        <f t="shared" si="18"/>
        <v>6.2032080266167114E-3</v>
      </c>
      <c r="AC112" s="271">
        <f t="shared" si="18"/>
        <v>6.2032080266167114E-3</v>
      </c>
      <c r="AD112" s="271">
        <f t="shared" si="18"/>
        <v>6.2032080266167114E-3</v>
      </c>
      <c r="AE112" s="271">
        <f t="shared" si="18"/>
        <v>6.2032080266167114E-3</v>
      </c>
      <c r="AF112" s="271">
        <f t="shared" si="18"/>
        <v>6.2032080266167114E-3</v>
      </c>
      <c r="AG112" s="271">
        <f t="shared" si="18"/>
        <v>3.6009769800513483</v>
      </c>
      <c r="AH112" s="271">
        <f t="shared" si="18"/>
        <v>-3.6765899643548476E-2</v>
      </c>
      <c r="AI112" s="271">
        <f t="shared" si="18"/>
        <v>-3.0242775141836327E-2</v>
      </c>
      <c r="AJ112" s="271">
        <f t="shared" si="18"/>
        <v>-3.6765899643548476E-2</v>
      </c>
      <c r="AK112" s="271">
        <f t="shared" si="18"/>
        <v>-3.6765899643548476E-2</v>
      </c>
      <c r="AL112" s="271">
        <f t="shared" si="18"/>
        <v>-3.0242775141836327E-2</v>
      </c>
      <c r="AM112" s="271">
        <f t="shared" si="18"/>
        <v>-3.0242775141836327E-2</v>
      </c>
      <c r="AN112" s="271">
        <f t="shared" si="18"/>
        <v>-9.8307406073596861E-3</v>
      </c>
      <c r="AO112" s="271">
        <f t="shared" si="18"/>
        <v>-9.8307406073596861E-3</v>
      </c>
      <c r="AP112" s="256"/>
      <c r="AQ112" s="256"/>
    </row>
    <row r="113" spans="3:43" x14ac:dyDescent="0.25">
      <c r="D113"/>
      <c r="E113" s="78"/>
      <c r="F113" t="s">
        <v>160</v>
      </c>
      <c r="G113" t="s">
        <v>271</v>
      </c>
      <c r="H113" s="41"/>
      <c r="J113" s="88">
        <f t="shared" ref="J113" si="19" xml:space="preserve"> J23 + J35</f>
        <v>28.510610934465749</v>
      </c>
      <c r="K113" s="88">
        <f t="shared" ref="K113:AO113" si="20" xml:space="preserve"> K23 + K35</f>
        <v>0</v>
      </c>
      <c r="L113" s="88">
        <f t="shared" si="20"/>
        <v>11.919761633370076</v>
      </c>
      <c r="M113" s="88">
        <f t="shared" si="20"/>
        <v>20.178504751922148</v>
      </c>
      <c r="N113" s="88">
        <f t="shared" si="20"/>
        <v>60.656138328580283</v>
      </c>
      <c r="O113" s="88">
        <f t="shared" si="20"/>
        <v>128.83350838090195</v>
      </c>
      <c r="P113" s="88">
        <f t="shared" si="20"/>
        <v>393.22256772067516</v>
      </c>
      <c r="Q113" s="88">
        <f t="shared" si="20"/>
        <v>0</v>
      </c>
      <c r="R113" s="88">
        <f t="shared" si="20"/>
        <v>16.57610077681834</v>
      </c>
      <c r="S113" s="88">
        <f t="shared" si="20"/>
        <v>653.17807189022369</v>
      </c>
      <c r="T113" s="88">
        <f t="shared" si="20"/>
        <v>1175.5298024116864</v>
      </c>
      <c r="U113" s="88">
        <f t="shared" si="20"/>
        <v>1807.9166056455515</v>
      </c>
      <c r="V113" s="88">
        <f t="shared" si="20"/>
        <v>3825.3282237702715</v>
      </c>
      <c r="W113" s="88">
        <f t="shared" si="20"/>
        <v>12.93942798647695</v>
      </c>
      <c r="X113" s="88">
        <f t="shared" si="20"/>
        <v>649.5413990998826</v>
      </c>
      <c r="Y113" s="88">
        <f t="shared" si="20"/>
        <v>1171.893129621345</v>
      </c>
      <c r="Z113" s="88">
        <f t="shared" si="20"/>
        <v>1804.2799328552101</v>
      </c>
      <c r="AA113" s="88">
        <f t="shared" si="20"/>
        <v>3821.6915509799301</v>
      </c>
      <c r="AB113" s="88">
        <f t="shared" si="20"/>
        <v>119.45467255437254</v>
      </c>
      <c r="AC113" s="88">
        <f t="shared" si="20"/>
        <v>3900.2529451995383</v>
      </c>
      <c r="AD113" s="88">
        <f t="shared" si="20"/>
        <v>9477.4894611793279</v>
      </c>
      <c r="AE113" s="88">
        <f t="shared" si="20"/>
        <v>20866.867146154287</v>
      </c>
      <c r="AF113" s="88">
        <f t="shared" si="20"/>
        <v>52576.218740191987</v>
      </c>
      <c r="AG113" s="88">
        <f t="shared" si="20"/>
        <v>0</v>
      </c>
      <c r="AH113" s="88">
        <f t="shared" si="20"/>
        <v>0</v>
      </c>
      <c r="AI113" s="88">
        <f t="shared" si="20"/>
        <v>0</v>
      </c>
      <c r="AJ113" s="88">
        <f t="shared" si="20"/>
        <v>0</v>
      </c>
      <c r="AK113" s="88">
        <f t="shared" si="20"/>
        <v>0</v>
      </c>
      <c r="AL113" s="88">
        <f t="shared" si="20"/>
        <v>0</v>
      </c>
      <c r="AM113" s="88">
        <f t="shared" si="20"/>
        <v>0</v>
      </c>
      <c r="AN113" s="88">
        <f t="shared" si="20"/>
        <v>74.759832813677818</v>
      </c>
      <c r="AO113" s="88">
        <f t="shared" si="20"/>
        <v>74.759832813677818</v>
      </c>
    </row>
    <row r="114" spans="3:43" x14ac:dyDescent="0.25">
      <c r="D114"/>
      <c r="E114" s="78"/>
      <c r="F114" t="s">
        <v>161</v>
      </c>
      <c r="G114" t="s">
        <v>272</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5.1751263513126649</v>
      </c>
      <c r="S114" s="88">
        <f t="shared" si="22"/>
        <v>5.1751263513126649</v>
      </c>
      <c r="T114" s="88">
        <f t="shared" si="22"/>
        <v>5.1751263513126649</v>
      </c>
      <c r="U114" s="88">
        <f t="shared" si="22"/>
        <v>5.1751263513126649</v>
      </c>
      <c r="V114" s="88">
        <f t="shared" si="22"/>
        <v>5.1751263513126649</v>
      </c>
      <c r="W114" s="88">
        <f t="shared" si="22"/>
        <v>4.8569968783259014</v>
      </c>
      <c r="X114" s="88">
        <f t="shared" si="22"/>
        <v>4.8569968783259014</v>
      </c>
      <c r="Y114" s="88">
        <f t="shared" si="22"/>
        <v>4.8569968783259014</v>
      </c>
      <c r="Z114" s="88">
        <f t="shared" si="22"/>
        <v>4.8569968783259014</v>
      </c>
      <c r="AA114" s="88">
        <f t="shared" si="22"/>
        <v>4.8569968783259014</v>
      </c>
      <c r="AB114" s="88">
        <f t="shared" si="22"/>
        <v>4.0922507787562674</v>
      </c>
      <c r="AC114" s="88">
        <f t="shared" si="22"/>
        <v>4.0922507787562674</v>
      </c>
      <c r="AD114" s="88">
        <f t="shared" si="22"/>
        <v>4.0922507787562674</v>
      </c>
      <c r="AE114" s="88">
        <f t="shared" si="22"/>
        <v>4.0922507787562674</v>
      </c>
      <c r="AF114" s="88">
        <f t="shared" si="22"/>
        <v>4.0922507787562674</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162</v>
      </c>
      <c r="G115" t="s">
        <v>272</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10.133407692924756</v>
      </c>
      <c r="S115" s="88">
        <f t="shared" si="24"/>
        <v>10.133407692924756</v>
      </c>
      <c r="T115" s="88">
        <f t="shared" si="24"/>
        <v>10.133407692924756</v>
      </c>
      <c r="U115" s="88">
        <f t="shared" si="24"/>
        <v>10.133407692924756</v>
      </c>
      <c r="V115" s="88">
        <f t="shared" si="24"/>
        <v>10.133407692924756</v>
      </c>
      <c r="W115" s="88">
        <f t="shared" si="24"/>
        <v>8.7728917702555496</v>
      </c>
      <c r="X115" s="88">
        <f t="shared" si="24"/>
        <v>8.7728917702555496</v>
      </c>
      <c r="Y115" s="88">
        <f t="shared" si="24"/>
        <v>8.7728917702555496</v>
      </c>
      <c r="Z115" s="88">
        <f t="shared" si="24"/>
        <v>8.7728917702555496</v>
      </c>
      <c r="AA115" s="88">
        <f t="shared" si="24"/>
        <v>8.7728917702555496</v>
      </c>
      <c r="AB115" s="88">
        <f t="shared" si="24"/>
        <v>8.4410149633106037</v>
      </c>
      <c r="AC115" s="88">
        <f t="shared" si="24"/>
        <v>8.4410149633106037</v>
      </c>
      <c r="AD115" s="88">
        <f t="shared" si="24"/>
        <v>8.4410149633106037</v>
      </c>
      <c r="AE115" s="88">
        <f t="shared" si="24"/>
        <v>8.4410149633106037</v>
      </c>
      <c r="AF115" s="88">
        <f t="shared" si="24"/>
        <v>8.4410149633106037</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163</v>
      </c>
      <c r="G116" s="28" t="s">
        <v>273</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0.14374277388422174</v>
      </c>
      <c r="S116" s="273">
        <f t="shared" si="26"/>
        <v>0.14374277388422174</v>
      </c>
      <c r="T116" s="273">
        <f t="shared" si="26"/>
        <v>0.14374277388422174</v>
      </c>
      <c r="U116" s="273">
        <f t="shared" si="26"/>
        <v>0.14374277388422174</v>
      </c>
      <c r="V116" s="273">
        <f t="shared" si="26"/>
        <v>0.14374277388422174</v>
      </c>
      <c r="W116" s="273">
        <f t="shared" si="26"/>
        <v>9.2852011484984898E-2</v>
      </c>
      <c r="X116" s="273">
        <f t="shared" si="26"/>
        <v>9.2852011484984898E-2</v>
      </c>
      <c r="Y116" s="273">
        <f t="shared" si="26"/>
        <v>9.2852011484984898E-2</v>
      </c>
      <c r="Z116" s="273">
        <f t="shared" si="26"/>
        <v>9.2852011484984898E-2</v>
      </c>
      <c r="AA116" s="273">
        <f t="shared" si="26"/>
        <v>9.2852011484984898E-2</v>
      </c>
      <c r="AB116" s="273">
        <f t="shared" si="26"/>
        <v>6.0971490491113549E-2</v>
      </c>
      <c r="AC116" s="273">
        <f t="shared" si="26"/>
        <v>6.0971490491113549E-2</v>
      </c>
      <c r="AD116" s="273">
        <f t="shared" si="26"/>
        <v>6.0971490491113549E-2</v>
      </c>
      <c r="AE116" s="273">
        <f t="shared" si="26"/>
        <v>6.0971490491113549E-2</v>
      </c>
      <c r="AF116" s="273">
        <f t="shared" si="26"/>
        <v>6.0971490491113549E-2</v>
      </c>
      <c r="AG116" s="273">
        <f t="shared" si="26"/>
        <v>0</v>
      </c>
      <c r="AH116" s="273">
        <f t="shared" si="26"/>
        <v>0</v>
      </c>
      <c r="AI116" s="273">
        <f t="shared" si="26"/>
        <v>0</v>
      </c>
      <c r="AJ116" s="273">
        <f t="shared" si="26"/>
        <v>0.15293859301027984</v>
      </c>
      <c r="AK116" s="273">
        <f t="shared" si="26"/>
        <v>0</v>
      </c>
      <c r="AL116" s="273">
        <f t="shared" si="26"/>
        <v>0.11981639967433741</v>
      </c>
      <c r="AM116" s="273">
        <f t="shared" si="26"/>
        <v>0</v>
      </c>
      <c r="AN116" s="273">
        <f t="shared" si="26"/>
        <v>9.1094368372010112E-2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155</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157</v>
      </c>
      <c r="G121" s="19" t="s">
        <v>270</v>
      </c>
      <c r="H121" s="267"/>
      <c r="I121" s="255"/>
      <c r="J121" s="313">
        <f xml:space="preserve"> J110 + J44</f>
        <v>15.165099534575806</v>
      </c>
      <c r="K121" s="313">
        <f t="shared" ref="K121:AO121" si="27" xml:space="preserve"> K110 + K44</f>
        <v>15.165099534575806</v>
      </c>
      <c r="L121" s="313">
        <f t="shared" si="27"/>
        <v>16.257004512876239</v>
      </c>
      <c r="M121" s="313">
        <f t="shared" si="27"/>
        <v>16.257004512876239</v>
      </c>
      <c r="N121" s="313">
        <f t="shared" si="27"/>
        <v>16.257004512876239</v>
      </c>
      <c r="O121" s="313">
        <f t="shared" si="27"/>
        <v>16.257004512876239</v>
      </c>
      <c r="P121" s="313">
        <f t="shared" si="27"/>
        <v>16.257004512876239</v>
      </c>
      <c r="Q121" s="313">
        <f t="shared" si="27"/>
        <v>16.257004512876239</v>
      </c>
      <c r="R121" s="313">
        <f t="shared" si="27"/>
        <v>10.983038407396837</v>
      </c>
      <c r="S121" s="313">
        <f t="shared" si="27"/>
        <v>10.983038407396837</v>
      </c>
      <c r="T121" s="313">
        <f t="shared" si="27"/>
        <v>10.983038407396837</v>
      </c>
      <c r="U121" s="313">
        <f t="shared" si="27"/>
        <v>10.983038407396837</v>
      </c>
      <c r="V121" s="313">
        <f t="shared" si="27"/>
        <v>10.983038407396837</v>
      </c>
      <c r="W121" s="313">
        <f t="shared" si="27"/>
        <v>8.013422834799643</v>
      </c>
      <c r="X121" s="313">
        <f t="shared" si="27"/>
        <v>8.013422834799643</v>
      </c>
      <c r="Y121" s="313">
        <f t="shared" si="27"/>
        <v>8.013422834799643</v>
      </c>
      <c r="Z121" s="313">
        <f t="shared" si="27"/>
        <v>8.013422834799643</v>
      </c>
      <c r="AA121" s="313">
        <f t="shared" si="27"/>
        <v>8.013422834799643</v>
      </c>
      <c r="AB121" s="313">
        <f t="shared" si="27"/>
        <v>5.646996018679137</v>
      </c>
      <c r="AC121" s="313">
        <f t="shared" si="27"/>
        <v>5.646996018679137</v>
      </c>
      <c r="AD121" s="313">
        <f t="shared" si="27"/>
        <v>5.646996018679137</v>
      </c>
      <c r="AE121" s="313">
        <f t="shared" si="27"/>
        <v>5.646996018679137</v>
      </c>
      <c r="AF121" s="313">
        <f t="shared" si="27"/>
        <v>5.646996018679137</v>
      </c>
      <c r="AG121" s="313">
        <f t="shared" si="27"/>
        <v>44.210860588807485</v>
      </c>
      <c r="AH121" s="313">
        <f t="shared" si="27"/>
        <v>-10.399682892504964</v>
      </c>
      <c r="AI121" s="313">
        <f t="shared" si="27"/>
        <v>-9.3206261710908951</v>
      </c>
      <c r="AJ121" s="313">
        <f t="shared" si="27"/>
        <v>-10.399682892504964</v>
      </c>
      <c r="AK121" s="313">
        <f t="shared" si="27"/>
        <v>-10.399682892504964</v>
      </c>
      <c r="AL121" s="313">
        <f t="shared" si="27"/>
        <v>-9.3206261710908951</v>
      </c>
      <c r="AM121" s="313">
        <f t="shared" si="27"/>
        <v>-9.3206261710908951</v>
      </c>
      <c r="AN121" s="313">
        <f t="shared" si="27"/>
        <v>-5.9269683096045114</v>
      </c>
      <c r="AO121" s="313">
        <f t="shared" si="27"/>
        <v>-5.9269683096045114</v>
      </c>
      <c r="AP121" s="256"/>
      <c r="AQ121" s="256"/>
    </row>
    <row r="122" spans="3:43" x14ac:dyDescent="0.25">
      <c r="E122" s="78"/>
      <c r="F122" t="s">
        <v>158</v>
      </c>
      <c r="G122" t="s">
        <v>270</v>
      </c>
      <c r="H122" s="268"/>
      <c r="I122" s="256"/>
      <c r="J122" s="314">
        <f t="shared" ref="J122" si="28" xml:space="preserve"> J111 + J45</f>
        <v>0.75809611326930659</v>
      </c>
      <c r="K122" s="314">
        <f t="shared" ref="K122:AO122" si="29" xml:space="preserve"> K111 + K45</f>
        <v>0.75809611326930659</v>
      </c>
      <c r="L122" s="314">
        <f t="shared" si="29"/>
        <v>0.81267992382865617</v>
      </c>
      <c r="M122" s="314">
        <f t="shared" si="29"/>
        <v>0.81267992382865617</v>
      </c>
      <c r="N122" s="314">
        <f t="shared" si="29"/>
        <v>0.81267992382865617</v>
      </c>
      <c r="O122" s="314">
        <f t="shared" si="29"/>
        <v>0.81267992382865617</v>
      </c>
      <c r="P122" s="314">
        <f t="shared" si="29"/>
        <v>0.81267992382865617</v>
      </c>
      <c r="Q122" s="314">
        <f t="shared" si="29"/>
        <v>0.81267992382865617</v>
      </c>
      <c r="R122" s="314">
        <f t="shared" si="29"/>
        <v>0.49946772809417317</v>
      </c>
      <c r="S122" s="314">
        <f t="shared" si="29"/>
        <v>0.49946772809417317</v>
      </c>
      <c r="T122" s="314">
        <f t="shared" si="29"/>
        <v>0.49946772809417317</v>
      </c>
      <c r="U122" s="314">
        <f t="shared" si="29"/>
        <v>0.49946772809417317</v>
      </c>
      <c r="V122" s="314">
        <f t="shared" si="29"/>
        <v>0.49946772809417317</v>
      </c>
      <c r="W122" s="314">
        <f t="shared" si="29"/>
        <v>0.28526570901067577</v>
      </c>
      <c r="X122" s="314">
        <f t="shared" si="29"/>
        <v>0.28526570901067577</v>
      </c>
      <c r="Y122" s="314">
        <f t="shared" si="29"/>
        <v>0.28526570901067577</v>
      </c>
      <c r="Z122" s="314">
        <f t="shared" si="29"/>
        <v>0.28526570901067577</v>
      </c>
      <c r="AA122" s="314">
        <f t="shared" si="29"/>
        <v>0.28526570901067577</v>
      </c>
      <c r="AB122" s="314">
        <f t="shared" si="29"/>
        <v>0.15258463627516752</v>
      </c>
      <c r="AC122" s="314">
        <f t="shared" si="29"/>
        <v>0.15258463627516752</v>
      </c>
      <c r="AD122" s="314">
        <f t="shared" si="29"/>
        <v>0.15258463627516752</v>
      </c>
      <c r="AE122" s="314">
        <f t="shared" si="29"/>
        <v>0.15258463627516752</v>
      </c>
      <c r="AF122" s="314">
        <f t="shared" si="29"/>
        <v>0.15258463627516752</v>
      </c>
      <c r="AG122" s="314">
        <f t="shared" si="29"/>
        <v>4.4937848329022199</v>
      </c>
      <c r="AH122" s="314">
        <f t="shared" si="29"/>
        <v>-0.51987520174636581</v>
      </c>
      <c r="AI122" s="314">
        <f t="shared" si="29"/>
        <v>-0.44045574218544947</v>
      </c>
      <c r="AJ122" s="314">
        <f t="shared" si="29"/>
        <v>-0.51987520174636581</v>
      </c>
      <c r="AK122" s="314">
        <f t="shared" si="29"/>
        <v>-0.51987520174636581</v>
      </c>
      <c r="AL122" s="314">
        <f t="shared" si="29"/>
        <v>-0.44045574218544947</v>
      </c>
      <c r="AM122" s="314">
        <f t="shared" si="29"/>
        <v>-0.44045574218544947</v>
      </c>
      <c r="AN122" s="314">
        <f t="shared" si="29"/>
        <v>-0.19140970918040676</v>
      </c>
      <c r="AO122" s="314">
        <f t="shared" si="29"/>
        <v>-0.19140970918040676</v>
      </c>
      <c r="AP122" s="256"/>
      <c r="AQ122" s="256"/>
    </row>
    <row r="123" spans="3:43" x14ac:dyDescent="0.25">
      <c r="E123" s="78"/>
      <c r="F123" t="s">
        <v>159</v>
      </c>
      <c r="G123" t="s">
        <v>270</v>
      </c>
      <c r="H123" s="268"/>
      <c r="I123" s="256"/>
      <c r="J123" s="314">
        <f t="shared" ref="J123" si="30" xml:space="preserve"> J112 + J46</f>
        <v>5.3613031602575995E-2</v>
      </c>
      <c r="K123" s="314">
        <f t="shared" ref="K123:AO123" si="31" xml:space="preserve"> K112 + K46</f>
        <v>5.3613031602575995E-2</v>
      </c>
      <c r="L123" s="314">
        <f t="shared" si="31"/>
        <v>5.7473232847886774E-2</v>
      </c>
      <c r="M123" s="314">
        <f t="shared" si="31"/>
        <v>5.7473232847886774E-2</v>
      </c>
      <c r="N123" s="314">
        <f t="shared" si="31"/>
        <v>5.7473232847886774E-2</v>
      </c>
      <c r="O123" s="314">
        <f t="shared" si="31"/>
        <v>5.7473232847886774E-2</v>
      </c>
      <c r="P123" s="314">
        <f t="shared" si="31"/>
        <v>5.7473232847886774E-2</v>
      </c>
      <c r="Q123" s="314">
        <f t="shared" si="31"/>
        <v>5.7473232847886774E-2</v>
      </c>
      <c r="R123" s="314">
        <f t="shared" si="31"/>
        <v>3.3558949876465571E-2</v>
      </c>
      <c r="S123" s="314">
        <f t="shared" si="31"/>
        <v>3.3558949876465571E-2</v>
      </c>
      <c r="T123" s="314">
        <f t="shared" si="31"/>
        <v>3.3558949876465571E-2</v>
      </c>
      <c r="U123" s="314">
        <f t="shared" si="31"/>
        <v>3.3558949876465571E-2</v>
      </c>
      <c r="V123" s="314">
        <f t="shared" si="31"/>
        <v>3.3558949876465571E-2</v>
      </c>
      <c r="W123" s="314">
        <f t="shared" si="31"/>
        <v>1.6070913442792111E-2</v>
      </c>
      <c r="X123" s="314">
        <f t="shared" si="31"/>
        <v>1.6070913442792111E-2</v>
      </c>
      <c r="Y123" s="314">
        <f t="shared" si="31"/>
        <v>1.6070913442792111E-2</v>
      </c>
      <c r="Z123" s="314">
        <f t="shared" si="31"/>
        <v>1.6070913442792111E-2</v>
      </c>
      <c r="AA123" s="314">
        <f t="shared" si="31"/>
        <v>1.6070913442792111E-2</v>
      </c>
      <c r="AB123" s="314">
        <f t="shared" si="31"/>
        <v>6.2032080266167114E-3</v>
      </c>
      <c r="AC123" s="314">
        <f t="shared" si="31"/>
        <v>6.2032080266167114E-3</v>
      </c>
      <c r="AD123" s="314">
        <f t="shared" si="31"/>
        <v>6.2032080266167114E-3</v>
      </c>
      <c r="AE123" s="314">
        <f t="shared" si="31"/>
        <v>6.2032080266167114E-3</v>
      </c>
      <c r="AF123" s="314">
        <f t="shared" si="31"/>
        <v>6.2032080266167114E-3</v>
      </c>
      <c r="AG123" s="314">
        <f t="shared" si="31"/>
        <v>3.6009769800513483</v>
      </c>
      <c r="AH123" s="314">
        <f t="shared" si="31"/>
        <v>-3.6765899643548476E-2</v>
      </c>
      <c r="AI123" s="314">
        <f t="shared" si="31"/>
        <v>-3.0242775141836327E-2</v>
      </c>
      <c r="AJ123" s="314">
        <f t="shared" si="31"/>
        <v>-3.6765899643548476E-2</v>
      </c>
      <c r="AK123" s="314">
        <f t="shared" si="31"/>
        <v>-3.6765899643548476E-2</v>
      </c>
      <c r="AL123" s="314">
        <f t="shared" si="31"/>
        <v>-3.0242775141836327E-2</v>
      </c>
      <c r="AM123" s="314">
        <f t="shared" si="31"/>
        <v>-3.0242775141836327E-2</v>
      </c>
      <c r="AN123" s="314">
        <f t="shared" si="31"/>
        <v>-9.8307406073596861E-3</v>
      </c>
      <c r="AO123" s="314">
        <f t="shared" si="31"/>
        <v>-9.8307406073596861E-3</v>
      </c>
      <c r="AP123" s="256"/>
      <c r="AQ123" s="256"/>
    </row>
    <row r="124" spans="3:43" x14ac:dyDescent="0.25">
      <c r="E124" s="78"/>
      <c r="F124" t="s">
        <v>160</v>
      </c>
      <c r="G124" t="s">
        <v>271</v>
      </c>
      <c r="H124" s="41"/>
      <c r="J124" s="315">
        <f t="shared" ref="J124" si="32" xml:space="preserve"> J113 + J47</f>
        <v>29.423678661430461</v>
      </c>
      <c r="K124" s="315">
        <f t="shared" ref="K124:AO124" si="33" xml:space="preserve"> K113 + K47</f>
        <v>0</v>
      </c>
      <c r="L124" s="315">
        <f t="shared" si="33"/>
        <v>12.638103286501224</v>
      </c>
      <c r="M124" s="315">
        <f t="shared" si="33"/>
        <v>20.896846405053296</v>
      </c>
      <c r="N124" s="315">
        <f t="shared" si="33"/>
        <v>61.374479981711431</v>
      </c>
      <c r="O124" s="315">
        <f t="shared" si="33"/>
        <v>129.55185003403309</v>
      </c>
      <c r="P124" s="315">
        <f t="shared" si="33"/>
        <v>393.94090937380633</v>
      </c>
      <c r="Q124" s="315">
        <f t="shared" si="33"/>
        <v>0</v>
      </c>
      <c r="R124" s="315">
        <f t="shared" si="33"/>
        <v>17.294442429949488</v>
      </c>
      <c r="S124" s="315">
        <f t="shared" si="33"/>
        <v>653.89641354335481</v>
      </c>
      <c r="T124" s="315">
        <f t="shared" si="33"/>
        <v>1176.2481440648176</v>
      </c>
      <c r="U124" s="315">
        <f t="shared" si="33"/>
        <v>1808.6349472986826</v>
      </c>
      <c r="V124" s="315">
        <f t="shared" si="33"/>
        <v>3826.0465654234026</v>
      </c>
      <c r="W124" s="315">
        <f t="shared" si="33"/>
        <v>13.657769639608098</v>
      </c>
      <c r="X124" s="315">
        <f t="shared" si="33"/>
        <v>650.25974075301372</v>
      </c>
      <c r="Y124" s="315">
        <f t="shared" si="33"/>
        <v>1172.6114712744761</v>
      </c>
      <c r="Z124" s="315">
        <f t="shared" si="33"/>
        <v>1804.9982745083412</v>
      </c>
      <c r="AA124" s="315">
        <f t="shared" si="33"/>
        <v>3822.4098926330612</v>
      </c>
      <c r="AB124" s="315">
        <f t="shared" si="33"/>
        <v>120.17301420750368</v>
      </c>
      <c r="AC124" s="315">
        <f t="shared" si="33"/>
        <v>3900.9712868526694</v>
      </c>
      <c r="AD124" s="315">
        <f t="shared" si="33"/>
        <v>9478.2078028324595</v>
      </c>
      <c r="AE124" s="315">
        <f t="shared" si="33"/>
        <v>20867.585487807417</v>
      </c>
      <c r="AF124" s="315">
        <f t="shared" si="33"/>
        <v>52576.937081845121</v>
      </c>
      <c r="AG124" s="315">
        <f t="shared" si="33"/>
        <v>0</v>
      </c>
      <c r="AH124" s="315">
        <f t="shared" si="33"/>
        <v>0</v>
      </c>
      <c r="AI124" s="315">
        <f t="shared" si="33"/>
        <v>0</v>
      </c>
      <c r="AJ124" s="315">
        <f t="shared" si="33"/>
        <v>0</v>
      </c>
      <c r="AK124" s="315">
        <f t="shared" si="33"/>
        <v>0</v>
      </c>
      <c r="AL124" s="315">
        <f t="shared" si="33"/>
        <v>0</v>
      </c>
      <c r="AM124" s="315">
        <f t="shared" si="33"/>
        <v>0</v>
      </c>
      <c r="AN124" s="315">
        <f t="shared" si="33"/>
        <v>74.759832813677818</v>
      </c>
      <c r="AO124" s="315">
        <f t="shared" si="33"/>
        <v>74.759832813677818</v>
      </c>
    </row>
    <row r="125" spans="3:43" x14ac:dyDescent="0.25">
      <c r="E125" s="78"/>
      <c r="F125" t="s">
        <v>161</v>
      </c>
      <c r="G125" t="s">
        <v>272</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5.1751263513126649</v>
      </c>
      <c r="S125" s="315">
        <f t="shared" si="35"/>
        <v>5.1751263513126649</v>
      </c>
      <c r="T125" s="315">
        <f t="shared" si="35"/>
        <v>5.1751263513126649</v>
      </c>
      <c r="U125" s="315">
        <f t="shared" si="35"/>
        <v>5.1751263513126649</v>
      </c>
      <c r="V125" s="315">
        <f t="shared" si="35"/>
        <v>5.1751263513126649</v>
      </c>
      <c r="W125" s="315">
        <f t="shared" si="35"/>
        <v>4.8569968783259014</v>
      </c>
      <c r="X125" s="315">
        <f t="shared" si="35"/>
        <v>4.8569968783259014</v>
      </c>
      <c r="Y125" s="315">
        <f t="shared" si="35"/>
        <v>4.8569968783259014</v>
      </c>
      <c r="Z125" s="315">
        <f t="shared" si="35"/>
        <v>4.8569968783259014</v>
      </c>
      <c r="AA125" s="315">
        <f t="shared" si="35"/>
        <v>4.8569968783259014</v>
      </c>
      <c r="AB125" s="315">
        <f t="shared" si="35"/>
        <v>4.0922507787562674</v>
      </c>
      <c r="AC125" s="315">
        <f t="shared" si="35"/>
        <v>4.0922507787562674</v>
      </c>
      <c r="AD125" s="315">
        <f t="shared" si="35"/>
        <v>4.0922507787562674</v>
      </c>
      <c r="AE125" s="315">
        <f t="shared" si="35"/>
        <v>4.0922507787562674</v>
      </c>
      <c r="AF125" s="315">
        <f t="shared" si="35"/>
        <v>4.0922507787562674</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25">
      <c r="E126" s="78"/>
      <c r="F126" t="s">
        <v>162</v>
      </c>
      <c r="G126" t="s">
        <v>272</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10.133407692924756</v>
      </c>
      <c r="S126" s="315">
        <f t="shared" si="37"/>
        <v>10.133407692924756</v>
      </c>
      <c r="T126" s="315">
        <f t="shared" si="37"/>
        <v>10.133407692924756</v>
      </c>
      <c r="U126" s="315">
        <f t="shared" si="37"/>
        <v>10.133407692924756</v>
      </c>
      <c r="V126" s="315">
        <f t="shared" si="37"/>
        <v>10.133407692924756</v>
      </c>
      <c r="W126" s="315">
        <f t="shared" si="37"/>
        <v>8.7728917702555496</v>
      </c>
      <c r="X126" s="315">
        <f t="shared" si="37"/>
        <v>8.7728917702555496</v>
      </c>
      <c r="Y126" s="315">
        <f t="shared" si="37"/>
        <v>8.7728917702555496</v>
      </c>
      <c r="Z126" s="315">
        <f t="shared" si="37"/>
        <v>8.7728917702555496</v>
      </c>
      <c r="AA126" s="315">
        <f t="shared" si="37"/>
        <v>8.7728917702555496</v>
      </c>
      <c r="AB126" s="315">
        <f t="shared" si="37"/>
        <v>8.4410149633106037</v>
      </c>
      <c r="AC126" s="315">
        <f t="shared" si="37"/>
        <v>8.4410149633106037</v>
      </c>
      <c r="AD126" s="315">
        <f t="shared" si="37"/>
        <v>8.4410149633106037</v>
      </c>
      <c r="AE126" s="315">
        <f t="shared" si="37"/>
        <v>8.4410149633106037</v>
      </c>
      <c r="AF126" s="315">
        <f t="shared" si="37"/>
        <v>8.4410149633106037</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25">
      <c r="E127" s="78"/>
      <c r="F127" s="28" t="s">
        <v>163</v>
      </c>
      <c r="G127" s="28" t="s">
        <v>273</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0.14374277388422174</v>
      </c>
      <c r="S127" s="273">
        <f t="shared" si="39"/>
        <v>0.14374277388422174</v>
      </c>
      <c r="T127" s="273">
        <f t="shared" si="39"/>
        <v>0.14374277388422174</v>
      </c>
      <c r="U127" s="273">
        <f t="shared" si="39"/>
        <v>0.14374277388422174</v>
      </c>
      <c r="V127" s="273">
        <f t="shared" si="39"/>
        <v>0.14374277388422174</v>
      </c>
      <c r="W127" s="273">
        <f t="shared" si="39"/>
        <v>9.2852011484984898E-2</v>
      </c>
      <c r="X127" s="273">
        <f t="shared" si="39"/>
        <v>9.2852011484984898E-2</v>
      </c>
      <c r="Y127" s="273">
        <f t="shared" si="39"/>
        <v>9.2852011484984898E-2</v>
      </c>
      <c r="Z127" s="273">
        <f t="shared" si="39"/>
        <v>9.2852011484984898E-2</v>
      </c>
      <c r="AA127" s="273">
        <f t="shared" si="39"/>
        <v>9.2852011484984898E-2</v>
      </c>
      <c r="AB127" s="273">
        <f t="shared" si="39"/>
        <v>6.0971490491113549E-2</v>
      </c>
      <c r="AC127" s="273">
        <f t="shared" si="39"/>
        <v>6.0971490491113549E-2</v>
      </c>
      <c r="AD127" s="273">
        <f t="shared" si="39"/>
        <v>6.0971490491113549E-2</v>
      </c>
      <c r="AE127" s="273">
        <f t="shared" si="39"/>
        <v>6.0971490491113549E-2</v>
      </c>
      <c r="AF127" s="273">
        <f t="shared" si="39"/>
        <v>6.0971490491113549E-2</v>
      </c>
      <c r="AG127" s="273">
        <f t="shared" si="39"/>
        <v>0</v>
      </c>
      <c r="AH127" s="273">
        <f t="shared" si="39"/>
        <v>0</v>
      </c>
      <c r="AI127" s="273">
        <f t="shared" si="39"/>
        <v>0</v>
      </c>
      <c r="AJ127" s="273">
        <f t="shared" si="39"/>
        <v>0.15293859301027984</v>
      </c>
      <c r="AK127" s="273">
        <f t="shared" si="39"/>
        <v>0</v>
      </c>
      <c r="AL127" s="273">
        <f t="shared" si="39"/>
        <v>0.11981639967433741</v>
      </c>
      <c r="AM127" s="273">
        <f t="shared" si="39"/>
        <v>0</v>
      </c>
      <c r="AN127" s="273">
        <f t="shared" si="39"/>
        <v>9.1094368372010112E-2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155</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157</v>
      </c>
      <c r="G130" s="19" t="s">
        <v>270</v>
      </c>
      <c r="H130" s="267"/>
      <c r="I130" s="255"/>
      <c r="J130" s="270">
        <f t="shared" ref="J130:J136" si="40" xml:space="preserve"> J110 * (1 - J75) + J44</f>
        <v>9.2419110903010218</v>
      </c>
      <c r="K130" s="270">
        <f t="shared" ref="K130:AJ130" si="41" xml:space="preserve"> K110 * (1 - K75) + K44</f>
        <v>9.2419110903010218</v>
      </c>
      <c r="L130" s="270">
        <f t="shared" si="41"/>
        <v>9.9073395436719984</v>
      </c>
      <c r="M130" s="270">
        <f t="shared" si="41"/>
        <v>9.9073395436719984</v>
      </c>
      <c r="N130" s="270">
        <f t="shared" si="41"/>
        <v>9.9073395436719984</v>
      </c>
      <c r="O130" s="270">
        <f t="shared" si="41"/>
        <v>9.9073395436719984</v>
      </c>
      <c r="P130" s="270">
        <f t="shared" si="41"/>
        <v>9.9073395436719984</v>
      </c>
      <c r="Q130" s="270">
        <f t="shared" si="41"/>
        <v>9.9073395436719984</v>
      </c>
      <c r="R130" s="270">
        <f t="shared" si="41"/>
        <v>6.6932804648658815</v>
      </c>
      <c r="S130" s="270">
        <f t="shared" si="41"/>
        <v>6.6932804648658815</v>
      </c>
      <c r="T130" s="270">
        <f t="shared" si="41"/>
        <v>6.6932804648658815</v>
      </c>
      <c r="U130" s="270">
        <f t="shared" si="41"/>
        <v>6.6932804648658815</v>
      </c>
      <c r="V130" s="270">
        <f t="shared" si="41"/>
        <v>6.6932804648658815</v>
      </c>
      <c r="W130" s="269"/>
      <c r="X130" s="269"/>
      <c r="Y130" s="269"/>
      <c r="Z130" s="269"/>
      <c r="AA130" s="269"/>
      <c r="AB130" s="269"/>
      <c r="AC130" s="269"/>
      <c r="AD130" s="269"/>
      <c r="AE130" s="269"/>
      <c r="AF130" s="269"/>
      <c r="AG130" s="270">
        <f t="shared" si="41"/>
        <v>26.942971383463547</v>
      </c>
      <c r="AH130" s="270">
        <f t="shared" si="41"/>
        <v>-10.399682892504964</v>
      </c>
      <c r="AI130" s="269"/>
      <c r="AJ130" s="270">
        <f t="shared" si="41"/>
        <v>-10.399682892504964</v>
      </c>
      <c r="AK130" s="269"/>
      <c r="AL130" s="269"/>
      <c r="AM130" s="269"/>
      <c r="AN130" s="269"/>
      <c r="AO130" s="269"/>
      <c r="AP130" s="256"/>
      <c r="AQ130" s="256"/>
    </row>
    <row r="131" spans="3:43" x14ac:dyDescent="0.25">
      <c r="E131" s="78"/>
      <c r="F131" t="s">
        <v>158</v>
      </c>
      <c r="G131" t="s">
        <v>270</v>
      </c>
      <c r="H131" s="268"/>
      <c r="I131" s="256"/>
      <c r="J131" s="314">
        <f t="shared" si="40"/>
        <v>0.46199873998609281</v>
      </c>
      <c r="K131" s="314">
        <f t="shared" ref="K131:AJ131" si="42" xml:space="preserve"> K111 * (1 - K76) + K45</f>
        <v>0.46199873998609281</v>
      </c>
      <c r="L131" s="314">
        <f t="shared" si="42"/>
        <v>0.49526319189484541</v>
      </c>
      <c r="M131" s="314">
        <f t="shared" si="42"/>
        <v>0.49526319189484541</v>
      </c>
      <c r="N131" s="314">
        <f t="shared" si="42"/>
        <v>0.49526319189484541</v>
      </c>
      <c r="O131" s="314">
        <f t="shared" si="42"/>
        <v>0.49526319189484541</v>
      </c>
      <c r="P131" s="314">
        <f t="shared" si="42"/>
        <v>0.49526319189484541</v>
      </c>
      <c r="Q131" s="314">
        <f t="shared" si="42"/>
        <v>0.49526319189484541</v>
      </c>
      <c r="R131" s="314">
        <f t="shared" si="42"/>
        <v>0.30438549545926957</v>
      </c>
      <c r="S131" s="314">
        <f t="shared" si="42"/>
        <v>0.30438549545926957</v>
      </c>
      <c r="T131" s="314">
        <f t="shared" si="42"/>
        <v>0.30438549545926957</v>
      </c>
      <c r="U131" s="314">
        <f t="shared" si="42"/>
        <v>0.30438549545926957</v>
      </c>
      <c r="V131" s="314">
        <f t="shared" si="42"/>
        <v>0.30438549545926957</v>
      </c>
      <c r="W131" s="257"/>
      <c r="X131" s="257"/>
      <c r="Y131" s="257"/>
      <c r="Z131" s="257"/>
      <c r="AA131" s="257"/>
      <c r="AB131" s="257"/>
      <c r="AC131" s="257"/>
      <c r="AD131" s="257"/>
      <c r="AE131" s="257"/>
      <c r="AF131" s="257"/>
      <c r="AG131" s="314">
        <f t="shared" si="42"/>
        <v>2.7386012066677314</v>
      </c>
      <c r="AH131" s="314">
        <f t="shared" si="42"/>
        <v>-0.51987520174636581</v>
      </c>
      <c r="AI131" s="257"/>
      <c r="AJ131" s="314">
        <f t="shared" si="42"/>
        <v>-0.51987520174636581</v>
      </c>
      <c r="AK131" s="257"/>
      <c r="AL131" s="257"/>
      <c r="AM131" s="257"/>
      <c r="AN131" s="257"/>
      <c r="AO131" s="257"/>
      <c r="AP131" s="256"/>
      <c r="AQ131" s="256"/>
    </row>
    <row r="132" spans="3:43" x14ac:dyDescent="0.25">
      <c r="E132" s="78"/>
      <c r="F132" t="s">
        <v>159</v>
      </c>
      <c r="G132" t="s">
        <v>270</v>
      </c>
      <c r="H132" s="268"/>
      <c r="I132" s="256"/>
      <c r="J132" s="314">
        <f t="shared" si="40"/>
        <v>3.267284004452569E-2</v>
      </c>
      <c r="K132" s="314">
        <f t="shared" ref="K132:AJ132" si="43" xml:space="preserve"> K112 * (1 - K77) + K46</f>
        <v>3.267284004452569E-2</v>
      </c>
      <c r="L132" s="314">
        <f t="shared" si="43"/>
        <v>3.5025322902847357E-2</v>
      </c>
      <c r="M132" s="314">
        <f t="shared" si="43"/>
        <v>3.5025322902847357E-2</v>
      </c>
      <c r="N132" s="314">
        <f t="shared" si="43"/>
        <v>3.5025322902847357E-2</v>
      </c>
      <c r="O132" s="314">
        <f t="shared" si="43"/>
        <v>3.5025322902847357E-2</v>
      </c>
      <c r="P132" s="314">
        <f t="shared" si="43"/>
        <v>3.5025322902847357E-2</v>
      </c>
      <c r="Q132" s="314">
        <f t="shared" si="43"/>
        <v>3.5025322902847357E-2</v>
      </c>
      <c r="R132" s="314">
        <f t="shared" si="43"/>
        <v>2.0451486674059518E-2</v>
      </c>
      <c r="S132" s="314">
        <f t="shared" si="43"/>
        <v>2.0451486674059518E-2</v>
      </c>
      <c r="T132" s="314">
        <f t="shared" si="43"/>
        <v>2.0451486674059518E-2</v>
      </c>
      <c r="U132" s="314">
        <f t="shared" si="43"/>
        <v>2.0451486674059518E-2</v>
      </c>
      <c r="V132" s="314">
        <f t="shared" si="43"/>
        <v>2.0451486674059518E-2</v>
      </c>
      <c r="W132" s="257"/>
      <c r="X132" s="257"/>
      <c r="Y132" s="257"/>
      <c r="Z132" s="257"/>
      <c r="AA132" s="257"/>
      <c r="AB132" s="257"/>
      <c r="AC132" s="257"/>
      <c r="AD132" s="257"/>
      <c r="AE132" s="257"/>
      <c r="AF132" s="257"/>
      <c r="AG132" s="314">
        <f t="shared" si="43"/>
        <v>2.1945064727058607</v>
      </c>
      <c r="AH132" s="314">
        <f t="shared" si="43"/>
        <v>-3.6765899643548476E-2</v>
      </c>
      <c r="AI132" s="257"/>
      <c r="AJ132" s="314">
        <f t="shared" si="43"/>
        <v>-3.6765899643548476E-2</v>
      </c>
      <c r="AK132" s="257"/>
      <c r="AL132" s="257"/>
      <c r="AM132" s="257"/>
      <c r="AN132" s="257"/>
      <c r="AO132" s="257"/>
      <c r="AP132" s="256"/>
      <c r="AQ132" s="256"/>
    </row>
    <row r="133" spans="3:43" x14ac:dyDescent="0.25">
      <c r="E133" s="78"/>
      <c r="F133" t="s">
        <v>160</v>
      </c>
      <c r="G133" t="s">
        <v>271</v>
      </c>
      <c r="H133" s="41"/>
      <c r="J133" s="315">
        <f t="shared" si="40"/>
        <v>18.287996970636634</v>
      </c>
      <c r="K133" s="315">
        <f t="shared" ref="K133:AJ133" si="44" xml:space="preserve"> K113 * (1 - K78) + K47</f>
        <v>0</v>
      </c>
      <c r="L133" s="315">
        <f t="shared" si="44"/>
        <v>7.9824797474459341</v>
      </c>
      <c r="M133" s="315">
        <f t="shared" si="44"/>
        <v>13.015520872251754</v>
      </c>
      <c r="N133" s="315">
        <f t="shared" si="44"/>
        <v>37.683390002180403</v>
      </c>
      <c r="O133" s="315">
        <f t="shared" si="44"/>
        <v>79.232025469922036</v>
      </c>
      <c r="P133" s="315">
        <f t="shared" si="44"/>
        <v>240.35593857682358</v>
      </c>
      <c r="Q133" s="315">
        <f t="shared" si="44"/>
        <v>0</v>
      </c>
      <c r="R133" s="315">
        <f t="shared" si="44"/>
        <v>10.820144760584999</v>
      </c>
      <c r="S133" s="315">
        <f t="shared" si="44"/>
        <v>398.77795562272399</v>
      </c>
      <c r="T133" s="315">
        <f t="shared" si="44"/>
        <v>717.10941400436343</v>
      </c>
      <c r="U133" s="315">
        <f t="shared" si="44"/>
        <v>1102.4984183324875</v>
      </c>
      <c r="V133" s="315">
        <f t="shared" si="44"/>
        <v>2331.9488920824119</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25">
      <c r="E134" s="78"/>
      <c r="F134" t="s">
        <v>161</v>
      </c>
      <c r="G134" t="s">
        <v>272</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3.1538241810322161</v>
      </c>
      <c r="S134" s="315">
        <f t="shared" si="45"/>
        <v>3.1538241810322161</v>
      </c>
      <c r="T134" s="315">
        <f t="shared" si="45"/>
        <v>3.1538241810322161</v>
      </c>
      <c r="U134" s="315">
        <f t="shared" si="45"/>
        <v>3.1538241810322161</v>
      </c>
      <c r="V134" s="315">
        <f t="shared" si="45"/>
        <v>3.1538241810322161</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25">
      <c r="E135" s="78"/>
      <c r="F135" t="s">
        <v>162</v>
      </c>
      <c r="G135" t="s">
        <v>272</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6.1754987315619099</v>
      </c>
      <c r="S135" s="315">
        <f t="shared" si="46"/>
        <v>6.1754987315619099</v>
      </c>
      <c r="T135" s="315">
        <f t="shared" si="46"/>
        <v>6.1754987315619099</v>
      </c>
      <c r="U135" s="315">
        <f t="shared" si="46"/>
        <v>6.1754987315619099</v>
      </c>
      <c r="V135" s="315">
        <f t="shared" si="46"/>
        <v>6.1754987315619099</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25">
      <c r="E136" s="78"/>
      <c r="F136" s="28" t="s">
        <v>163</v>
      </c>
      <c r="G136" s="28" t="s">
        <v>273</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8.7599684597017738E-2</v>
      </c>
      <c r="S136" s="273">
        <f t="shared" si="47"/>
        <v>8.7599684597017738E-2</v>
      </c>
      <c r="T136" s="273">
        <f t="shared" si="47"/>
        <v>8.7599684597017738E-2</v>
      </c>
      <c r="U136" s="273">
        <f t="shared" si="47"/>
        <v>8.7599684597017738E-2</v>
      </c>
      <c r="V136" s="273">
        <f t="shared" si="47"/>
        <v>8.7599684597017738E-2</v>
      </c>
      <c r="W136" s="259"/>
      <c r="X136" s="259"/>
      <c r="Y136" s="259"/>
      <c r="Z136" s="259"/>
      <c r="AA136" s="259"/>
      <c r="AB136" s="259"/>
      <c r="AC136" s="259"/>
      <c r="AD136" s="259"/>
      <c r="AE136" s="259"/>
      <c r="AF136" s="259"/>
      <c r="AG136" s="273">
        <f t="shared" si="47"/>
        <v>0</v>
      </c>
      <c r="AH136" s="273">
        <f t="shared" si="47"/>
        <v>0</v>
      </c>
      <c r="AI136" s="259"/>
      <c r="AJ136" s="273">
        <f t="shared" si="47"/>
        <v>0.15293859301027984</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155</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157</v>
      </c>
      <c r="G139" s="19" t="s">
        <v>270</v>
      </c>
      <c r="H139" s="267"/>
      <c r="I139" s="255"/>
      <c r="J139" s="270">
        <f t="shared" ref="J139:J145" si="48">J110 * (1 - J84) + J44</f>
        <v>6.3016719896897779</v>
      </c>
      <c r="K139" s="270">
        <f t="shared" ref="K139:AN139" si="49">K110 * (1 - K84) + K44</f>
        <v>6.3016719896897779</v>
      </c>
      <c r="L139" s="270">
        <f t="shared" si="49"/>
        <v>6.7553997744280627</v>
      </c>
      <c r="M139" s="270">
        <f t="shared" si="49"/>
        <v>6.7553997744280627</v>
      </c>
      <c r="N139" s="270">
        <f t="shared" si="49"/>
        <v>6.7553997744280627</v>
      </c>
      <c r="O139" s="270">
        <f t="shared" si="49"/>
        <v>6.7553997744280627</v>
      </c>
      <c r="P139" s="270">
        <f t="shared" si="49"/>
        <v>6.7553997744280627</v>
      </c>
      <c r="Q139" s="270">
        <f t="shared" si="49"/>
        <v>6.7553997744280627</v>
      </c>
      <c r="R139" s="270">
        <f t="shared" si="49"/>
        <v>4.5638675391335397</v>
      </c>
      <c r="S139" s="270">
        <f t="shared" si="49"/>
        <v>4.5638675391335397</v>
      </c>
      <c r="T139" s="270">
        <f t="shared" si="49"/>
        <v>4.5638675391335397</v>
      </c>
      <c r="U139" s="270">
        <f t="shared" si="49"/>
        <v>4.5638675391335397</v>
      </c>
      <c r="V139" s="270">
        <f t="shared" si="49"/>
        <v>4.5638675391335397</v>
      </c>
      <c r="W139" s="270">
        <f t="shared" si="49"/>
        <v>5.5903606900050153</v>
      </c>
      <c r="X139" s="270">
        <f t="shared" si="49"/>
        <v>5.5903606900050153</v>
      </c>
      <c r="Y139" s="270">
        <f t="shared" si="49"/>
        <v>5.5903606900050153</v>
      </c>
      <c r="Z139" s="270">
        <f t="shared" si="49"/>
        <v>5.5903606900050153</v>
      </c>
      <c r="AA139" s="270">
        <f t="shared" si="49"/>
        <v>5.5903606900050153</v>
      </c>
      <c r="AB139" s="270">
        <f t="shared" si="49"/>
        <v>4.67288507323783</v>
      </c>
      <c r="AC139" s="270">
        <f t="shared" si="49"/>
        <v>4.67288507323783</v>
      </c>
      <c r="AD139" s="270">
        <f t="shared" si="49"/>
        <v>4.67288507323783</v>
      </c>
      <c r="AE139" s="270">
        <f t="shared" si="49"/>
        <v>4.67288507323783</v>
      </c>
      <c r="AF139" s="270">
        <f t="shared" si="49"/>
        <v>4.67288507323783</v>
      </c>
      <c r="AG139" s="270">
        <f t="shared" si="49"/>
        <v>18.371283431234062</v>
      </c>
      <c r="AH139" s="270">
        <f t="shared" si="49"/>
        <v>-10.399682892504964</v>
      </c>
      <c r="AI139" s="270">
        <f t="shared" si="49"/>
        <v>-9.3206261710908951</v>
      </c>
      <c r="AJ139" s="270">
        <f t="shared" si="49"/>
        <v>-10.399682892504964</v>
      </c>
      <c r="AK139" s="269"/>
      <c r="AL139" s="270">
        <f t="shared" si="49"/>
        <v>-9.3206261710908951</v>
      </c>
      <c r="AM139" s="269"/>
      <c r="AN139" s="270">
        <f t="shared" si="49"/>
        <v>-5.9269683096045114</v>
      </c>
      <c r="AO139" s="269"/>
      <c r="AP139" s="256"/>
      <c r="AQ139" s="256"/>
    </row>
    <row r="140" spans="3:43" x14ac:dyDescent="0.25">
      <c r="C140" s="78"/>
      <c r="F140" t="s">
        <v>158</v>
      </c>
      <c r="G140" t="s">
        <v>270</v>
      </c>
      <c r="H140" s="268"/>
      <c r="I140" s="256"/>
      <c r="J140" s="314">
        <f t="shared" si="48"/>
        <v>0.3150175857131628</v>
      </c>
      <c r="K140" s="314">
        <f t="shared" ref="K140:AN140" si="50">K111 * (1 - K85) + K45</f>
        <v>0.3150175857131628</v>
      </c>
      <c r="L140" s="314">
        <f t="shared" si="50"/>
        <v>0.33769922188100659</v>
      </c>
      <c r="M140" s="314">
        <f t="shared" si="50"/>
        <v>0.33769922188100659</v>
      </c>
      <c r="N140" s="314">
        <f t="shared" si="50"/>
        <v>0.33769922188100659</v>
      </c>
      <c r="O140" s="314">
        <f t="shared" si="50"/>
        <v>0.33769922188100659</v>
      </c>
      <c r="P140" s="314">
        <f t="shared" si="50"/>
        <v>0.33769922188100659</v>
      </c>
      <c r="Q140" s="314">
        <f t="shared" si="50"/>
        <v>0.33769922188100659</v>
      </c>
      <c r="R140" s="314">
        <f t="shared" si="50"/>
        <v>0.20754771735648103</v>
      </c>
      <c r="S140" s="314">
        <f t="shared" si="50"/>
        <v>0.20754771735648103</v>
      </c>
      <c r="T140" s="314">
        <f t="shared" si="50"/>
        <v>0.20754771735648103</v>
      </c>
      <c r="U140" s="314">
        <f t="shared" si="50"/>
        <v>0.20754771735648103</v>
      </c>
      <c r="V140" s="314">
        <f t="shared" si="50"/>
        <v>0.20754771735648103</v>
      </c>
      <c r="W140" s="314">
        <f t="shared" si="50"/>
        <v>0.19900836867540189</v>
      </c>
      <c r="X140" s="314">
        <f t="shared" si="50"/>
        <v>0.19900836867540189</v>
      </c>
      <c r="Y140" s="314">
        <f t="shared" si="50"/>
        <v>0.19900836867540189</v>
      </c>
      <c r="Z140" s="314">
        <f t="shared" si="50"/>
        <v>0.19900836867540189</v>
      </c>
      <c r="AA140" s="314">
        <f t="shared" si="50"/>
        <v>0.19900836867540189</v>
      </c>
      <c r="AB140" s="314">
        <f t="shared" si="50"/>
        <v>0.12626367486308779</v>
      </c>
      <c r="AC140" s="314">
        <f t="shared" si="50"/>
        <v>0.12626367486308779</v>
      </c>
      <c r="AD140" s="314">
        <f t="shared" si="50"/>
        <v>0.12626367486308779</v>
      </c>
      <c r="AE140" s="314">
        <f t="shared" si="50"/>
        <v>0.12626367486308779</v>
      </c>
      <c r="AF140" s="314">
        <f t="shared" si="50"/>
        <v>0.12626367486308779</v>
      </c>
      <c r="AG140" s="314">
        <f t="shared" si="50"/>
        <v>1.8673374312267441</v>
      </c>
      <c r="AH140" s="314">
        <f t="shared" si="50"/>
        <v>-0.51987520174636581</v>
      </c>
      <c r="AI140" s="314">
        <f t="shared" si="50"/>
        <v>-0.44045574218544947</v>
      </c>
      <c r="AJ140" s="314">
        <f t="shared" si="50"/>
        <v>-0.51987520174636581</v>
      </c>
      <c r="AK140" s="257"/>
      <c r="AL140" s="314">
        <f t="shared" si="50"/>
        <v>-0.44045574218544947</v>
      </c>
      <c r="AM140" s="257"/>
      <c r="AN140" s="314">
        <f t="shared" si="50"/>
        <v>-0.19140970918040676</v>
      </c>
      <c r="AO140" s="257"/>
      <c r="AP140" s="256"/>
      <c r="AQ140" s="256"/>
    </row>
    <row r="141" spans="3:43" x14ac:dyDescent="0.25">
      <c r="C141" s="78"/>
      <c r="F141" t="s">
        <v>159</v>
      </c>
      <c r="G141" t="s">
        <v>270</v>
      </c>
      <c r="H141" s="268"/>
      <c r="I141" s="256"/>
      <c r="J141" s="314">
        <f t="shared" si="48"/>
        <v>2.2278240822753446E-2</v>
      </c>
      <c r="K141" s="314">
        <f t="shared" ref="K141:AN141" si="51">K112 * (1 - K86) + K46</f>
        <v>2.2278240822753446E-2</v>
      </c>
      <c r="L141" s="314">
        <f t="shared" si="51"/>
        <v>2.3882300328375478E-2</v>
      </c>
      <c r="M141" s="314">
        <f t="shared" si="51"/>
        <v>2.3882300328375478E-2</v>
      </c>
      <c r="N141" s="314">
        <f t="shared" si="51"/>
        <v>2.3882300328375478E-2</v>
      </c>
      <c r="O141" s="314">
        <f t="shared" si="51"/>
        <v>2.3882300328375478E-2</v>
      </c>
      <c r="P141" s="314">
        <f t="shared" si="51"/>
        <v>2.3882300328375478E-2</v>
      </c>
      <c r="Q141" s="314">
        <f t="shared" si="51"/>
        <v>2.3882300328375478E-2</v>
      </c>
      <c r="R141" s="314">
        <f t="shared" si="51"/>
        <v>1.3945011963671343E-2</v>
      </c>
      <c r="S141" s="314">
        <f t="shared" si="51"/>
        <v>1.3945011963671343E-2</v>
      </c>
      <c r="T141" s="314">
        <f t="shared" si="51"/>
        <v>1.3945011963671343E-2</v>
      </c>
      <c r="U141" s="314">
        <f t="shared" si="51"/>
        <v>1.3945011963671343E-2</v>
      </c>
      <c r="V141" s="314">
        <f t="shared" si="51"/>
        <v>1.3945011963671343E-2</v>
      </c>
      <c r="W141" s="314">
        <f t="shared" si="51"/>
        <v>1.1211464141503084E-2</v>
      </c>
      <c r="X141" s="314">
        <f t="shared" si="51"/>
        <v>1.1211464141503084E-2</v>
      </c>
      <c r="Y141" s="314">
        <f t="shared" si="51"/>
        <v>1.1211464141503084E-2</v>
      </c>
      <c r="Z141" s="314">
        <f t="shared" si="51"/>
        <v>1.1211464141503084E-2</v>
      </c>
      <c r="AA141" s="314">
        <f t="shared" si="51"/>
        <v>1.1211464141503084E-2</v>
      </c>
      <c r="AB141" s="314">
        <f t="shared" si="51"/>
        <v>5.1331501027950983E-3</v>
      </c>
      <c r="AC141" s="314">
        <f t="shared" si="51"/>
        <v>5.1331501027950983E-3</v>
      </c>
      <c r="AD141" s="314">
        <f t="shared" si="51"/>
        <v>5.1331501027950983E-3</v>
      </c>
      <c r="AE141" s="314">
        <f t="shared" si="51"/>
        <v>5.1331501027950983E-3</v>
      </c>
      <c r="AF141" s="314">
        <f t="shared" si="51"/>
        <v>5.1331501027950983E-3</v>
      </c>
      <c r="AG141" s="314">
        <f t="shared" si="51"/>
        <v>1.4963420265702865</v>
      </c>
      <c r="AH141" s="314">
        <f t="shared" si="51"/>
        <v>-3.6765899643548476E-2</v>
      </c>
      <c r="AI141" s="314">
        <f t="shared" si="51"/>
        <v>-3.0242775141836327E-2</v>
      </c>
      <c r="AJ141" s="314">
        <f t="shared" si="51"/>
        <v>-3.6765899643548476E-2</v>
      </c>
      <c r="AK141" s="257"/>
      <c r="AL141" s="314">
        <f t="shared" si="51"/>
        <v>-3.0242775141836327E-2</v>
      </c>
      <c r="AM141" s="257"/>
      <c r="AN141" s="314">
        <f t="shared" si="51"/>
        <v>-9.8307406073596861E-3</v>
      </c>
      <c r="AO141" s="257"/>
      <c r="AP141" s="256"/>
      <c r="AQ141" s="256"/>
    </row>
    <row r="142" spans="3:43" x14ac:dyDescent="0.25">
      <c r="C142" s="78"/>
      <c r="F142" t="s">
        <v>160</v>
      </c>
      <c r="G142" t="s">
        <v>271</v>
      </c>
      <c r="H142" s="41"/>
      <c r="J142" s="315">
        <f t="shared" si="48"/>
        <v>12.760304068871877</v>
      </c>
      <c r="K142" s="315">
        <f t="shared" ref="K142:AN142" si="52">K113 * (1 - K87) + K47</f>
        <v>0</v>
      </c>
      <c r="L142" s="315">
        <f t="shared" si="52"/>
        <v>5.6714530941427466</v>
      </c>
      <c r="M142" s="315">
        <f t="shared" si="52"/>
        <v>9.1032729817448583</v>
      </c>
      <c r="N142" s="315">
        <f t="shared" si="52"/>
        <v>25.923259499959819</v>
      </c>
      <c r="O142" s="315">
        <f t="shared" si="52"/>
        <v>54.253533377153182</v>
      </c>
      <c r="P142" s="315">
        <f t="shared" si="52"/>
        <v>164.11717956181906</v>
      </c>
      <c r="Q142" s="315">
        <f t="shared" si="52"/>
        <v>0</v>
      </c>
      <c r="R142" s="315">
        <f t="shared" si="52"/>
        <v>7.606337984799997</v>
      </c>
      <c r="S142" s="315">
        <f t="shared" si="52"/>
        <v>272.13851601635429</v>
      </c>
      <c r="T142" s="315">
        <f t="shared" si="52"/>
        <v>489.19540123416431</v>
      </c>
      <c r="U142" s="315">
        <f t="shared" si="52"/>
        <v>751.97601770835604</v>
      </c>
      <c r="V142" s="315">
        <f t="shared" si="52"/>
        <v>1590.2867888725023</v>
      </c>
      <c r="W142" s="315">
        <f t="shared" si="52"/>
        <v>9.7452045877338112</v>
      </c>
      <c r="X142" s="315">
        <f t="shared" si="52"/>
        <v>453.85438338175061</v>
      </c>
      <c r="Y142" s="315">
        <f t="shared" si="52"/>
        <v>818.25978677343221</v>
      </c>
      <c r="Z142" s="315">
        <f t="shared" si="52"/>
        <v>1259.4283608718845</v>
      </c>
      <c r="AA142" s="315">
        <f t="shared" si="52"/>
        <v>2666.824281195341</v>
      </c>
      <c r="AB142" s="315">
        <f t="shared" si="52"/>
        <v>99.566995780286987</v>
      </c>
      <c r="AC142" s="315">
        <f t="shared" si="52"/>
        <v>3228.1747997750608</v>
      </c>
      <c r="AD142" s="315">
        <f t="shared" si="52"/>
        <v>7843.3339355760654</v>
      </c>
      <c r="AE142" s="315">
        <f t="shared" si="52"/>
        <v>17268.035635655579</v>
      </c>
      <c r="AF142" s="315">
        <f t="shared" si="52"/>
        <v>43507.500876236307</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25">
      <c r="C143" s="78"/>
      <c r="F143" t="s">
        <v>161</v>
      </c>
      <c r="G143" t="s">
        <v>272</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2.1504605819974061</v>
      </c>
      <c r="S143" s="315">
        <f t="shared" si="53"/>
        <v>2.1504605819974061</v>
      </c>
      <c r="T143" s="315">
        <f t="shared" si="53"/>
        <v>2.1504605819974061</v>
      </c>
      <c r="U143" s="315">
        <f t="shared" si="53"/>
        <v>2.1504605819974061</v>
      </c>
      <c r="V143" s="315">
        <f t="shared" si="53"/>
        <v>2.1504605819974061</v>
      </c>
      <c r="W143" s="315">
        <f t="shared" si="53"/>
        <v>3.3883603773104873</v>
      </c>
      <c r="X143" s="315">
        <f t="shared" si="53"/>
        <v>3.3883603773104873</v>
      </c>
      <c r="Y143" s="315">
        <f t="shared" si="53"/>
        <v>3.3883603773104873</v>
      </c>
      <c r="Z143" s="315">
        <f t="shared" si="53"/>
        <v>3.3883603773104873</v>
      </c>
      <c r="AA143" s="315">
        <f t="shared" si="53"/>
        <v>3.3883603773104873</v>
      </c>
      <c r="AB143" s="315">
        <f t="shared" si="53"/>
        <v>3.3863345248946946</v>
      </c>
      <c r="AC143" s="315">
        <f t="shared" si="53"/>
        <v>3.3863345248946946</v>
      </c>
      <c r="AD143" s="315">
        <f t="shared" si="53"/>
        <v>3.3863345248946946</v>
      </c>
      <c r="AE143" s="315">
        <f t="shared" si="53"/>
        <v>3.3863345248946946</v>
      </c>
      <c r="AF143" s="315">
        <f t="shared" si="53"/>
        <v>3.3863345248946946</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25">
      <c r="C144" s="78"/>
      <c r="F144" t="s">
        <v>162</v>
      </c>
      <c r="G144" t="s">
        <v>272</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4.2108138672626954</v>
      </c>
      <c r="S144" s="315">
        <f t="shared" si="54"/>
        <v>4.2108138672626954</v>
      </c>
      <c r="T144" s="315">
        <f t="shared" si="54"/>
        <v>4.2108138672626954</v>
      </c>
      <c r="U144" s="315">
        <f t="shared" si="54"/>
        <v>4.2108138672626954</v>
      </c>
      <c r="V144" s="315">
        <f t="shared" si="54"/>
        <v>4.2108138672626954</v>
      </c>
      <c r="W144" s="315">
        <f t="shared" si="54"/>
        <v>6.1201848824356162</v>
      </c>
      <c r="X144" s="315">
        <f t="shared" si="54"/>
        <v>6.1201848824356162</v>
      </c>
      <c r="Y144" s="315">
        <f t="shared" si="54"/>
        <v>6.1201848824356162</v>
      </c>
      <c r="Z144" s="315">
        <f t="shared" si="54"/>
        <v>6.1201848824356162</v>
      </c>
      <c r="AA144" s="315">
        <f t="shared" si="54"/>
        <v>6.1201848824356162</v>
      </c>
      <c r="AB144" s="315">
        <f t="shared" si="54"/>
        <v>6.984933705382252</v>
      </c>
      <c r="AC144" s="315">
        <f t="shared" si="54"/>
        <v>6.984933705382252</v>
      </c>
      <c r="AD144" s="315">
        <f t="shared" si="54"/>
        <v>6.984933705382252</v>
      </c>
      <c r="AE144" s="315">
        <f t="shared" si="54"/>
        <v>6.984933705382252</v>
      </c>
      <c r="AF144" s="315">
        <f t="shared" si="54"/>
        <v>6.984933705382252</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25">
      <c r="C145" s="78"/>
      <c r="F145" s="28" t="s">
        <v>163</v>
      </c>
      <c r="G145" s="28" t="s">
        <v>273</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5.9730555005015264E-2</v>
      </c>
      <c r="S145" s="273">
        <f t="shared" si="55"/>
        <v>5.9730555005015264E-2</v>
      </c>
      <c r="T145" s="273">
        <f t="shared" si="55"/>
        <v>5.9730555005015264E-2</v>
      </c>
      <c r="U145" s="273">
        <f t="shared" si="55"/>
        <v>5.9730555005015264E-2</v>
      </c>
      <c r="V145" s="273">
        <f t="shared" si="55"/>
        <v>5.9730555005015264E-2</v>
      </c>
      <c r="W145" s="273">
        <f t="shared" si="55"/>
        <v>6.4775844940987953E-2</v>
      </c>
      <c r="X145" s="273">
        <f t="shared" si="55"/>
        <v>6.4775844940987953E-2</v>
      </c>
      <c r="Y145" s="273">
        <f t="shared" si="55"/>
        <v>6.4775844940987953E-2</v>
      </c>
      <c r="Z145" s="273">
        <f t="shared" si="55"/>
        <v>6.4775844940987953E-2</v>
      </c>
      <c r="AA145" s="273">
        <f t="shared" si="55"/>
        <v>6.4775844940987953E-2</v>
      </c>
      <c r="AB145" s="273">
        <f t="shared" si="55"/>
        <v>5.0453863765186333E-2</v>
      </c>
      <c r="AC145" s="273">
        <f t="shared" si="55"/>
        <v>5.0453863765186333E-2</v>
      </c>
      <c r="AD145" s="273">
        <f t="shared" si="55"/>
        <v>5.0453863765186333E-2</v>
      </c>
      <c r="AE145" s="273">
        <f t="shared" si="55"/>
        <v>5.0453863765186333E-2</v>
      </c>
      <c r="AF145" s="273">
        <f t="shared" si="55"/>
        <v>5.0453863765186333E-2</v>
      </c>
      <c r="AG145" s="273">
        <f t="shared" si="55"/>
        <v>0</v>
      </c>
      <c r="AH145" s="273">
        <f t="shared" si="55"/>
        <v>0</v>
      </c>
      <c r="AI145" s="273">
        <f t="shared" si="55"/>
        <v>0</v>
      </c>
      <c r="AJ145" s="273">
        <f t="shared" si="55"/>
        <v>0.15293859301027984</v>
      </c>
      <c r="AK145" s="259"/>
      <c r="AL145" s="273">
        <f t="shared" si="55"/>
        <v>0.11981639967433741</v>
      </c>
      <c r="AM145" s="259"/>
      <c r="AN145" s="273">
        <f t="shared" si="55"/>
        <v>9.1094368372010112E-2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155</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156</v>
      </c>
    </row>
    <row r="150" spans="1:43" x14ac:dyDescent="0.25">
      <c r="E150" s="78"/>
      <c r="F150" s="19" t="s">
        <v>157</v>
      </c>
      <c r="G150" s="19" t="s">
        <v>270</v>
      </c>
      <c r="H150" s="267"/>
      <c r="I150" s="255"/>
      <c r="J150" s="260">
        <f t="shared" ref="J150" si="56">ROUND(J121, $H95)</f>
        <v>15.164999999999999</v>
      </c>
      <c r="K150" s="260">
        <f t="shared" ref="K150:AO150" si="57">ROUND(K121, $H95)</f>
        <v>15.164999999999999</v>
      </c>
      <c r="L150" s="260">
        <f t="shared" si="57"/>
        <v>16.257000000000001</v>
      </c>
      <c r="M150" s="260">
        <f t="shared" si="57"/>
        <v>16.257000000000001</v>
      </c>
      <c r="N150" s="260">
        <f t="shared" si="57"/>
        <v>16.257000000000001</v>
      </c>
      <c r="O150" s="260">
        <f t="shared" si="57"/>
        <v>16.257000000000001</v>
      </c>
      <c r="P150" s="260">
        <f t="shared" si="57"/>
        <v>16.257000000000001</v>
      </c>
      <c r="Q150" s="260">
        <f t="shared" si="57"/>
        <v>16.257000000000001</v>
      </c>
      <c r="R150" s="260">
        <f t="shared" si="57"/>
        <v>10.983000000000001</v>
      </c>
      <c r="S150" s="260">
        <f t="shared" si="57"/>
        <v>10.983000000000001</v>
      </c>
      <c r="T150" s="260">
        <f t="shared" si="57"/>
        <v>10.983000000000001</v>
      </c>
      <c r="U150" s="260">
        <f t="shared" si="57"/>
        <v>10.983000000000001</v>
      </c>
      <c r="V150" s="260">
        <f t="shared" si="57"/>
        <v>10.983000000000001</v>
      </c>
      <c r="W150" s="260">
        <f t="shared" si="57"/>
        <v>8.0129999999999999</v>
      </c>
      <c r="X150" s="260">
        <f t="shared" si="57"/>
        <v>8.0129999999999999</v>
      </c>
      <c r="Y150" s="260">
        <f t="shared" si="57"/>
        <v>8.0129999999999999</v>
      </c>
      <c r="Z150" s="260">
        <f t="shared" si="57"/>
        <v>8.0129999999999999</v>
      </c>
      <c r="AA150" s="260">
        <f t="shared" si="57"/>
        <v>8.0129999999999999</v>
      </c>
      <c r="AB150" s="260">
        <f t="shared" si="57"/>
        <v>5.6470000000000002</v>
      </c>
      <c r="AC150" s="260">
        <f t="shared" si="57"/>
        <v>5.6470000000000002</v>
      </c>
      <c r="AD150" s="260">
        <f t="shared" si="57"/>
        <v>5.6470000000000002</v>
      </c>
      <c r="AE150" s="260">
        <f t="shared" si="57"/>
        <v>5.6470000000000002</v>
      </c>
      <c r="AF150" s="260">
        <f t="shared" si="57"/>
        <v>5.6470000000000002</v>
      </c>
      <c r="AG150" s="260">
        <f t="shared" si="57"/>
        <v>44.210999999999999</v>
      </c>
      <c r="AH150" s="260">
        <f t="shared" si="57"/>
        <v>-10.4</v>
      </c>
      <c r="AI150" s="260">
        <f t="shared" si="57"/>
        <v>-9.3209999999999997</v>
      </c>
      <c r="AJ150" s="260">
        <f t="shared" si="57"/>
        <v>-10.4</v>
      </c>
      <c r="AK150" s="260">
        <f t="shared" si="57"/>
        <v>-10.4</v>
      </c>
      <c r="AL150" s="260">
        <f t="shared" si="57"/>
        <v>-9.3209999999999997</v>
      </c>
      <c r="AM150" s="260">
        <f t="shared" si="57"/>
        <v>-9.3209999999999997</v>
      </c>
      <c r="AN150" s="260">
        <f t="shared" si="57"/>
        <v>-5.9269999999999996</v>
      </c>
      <c r="AO150" s="260">
        <f t="shared" si="57"/>
        <v>-5.9269999999999996</v>
      </c>
      <c r="AP150" s="256"/>
      <c r="AQ150" s="256"/>
    </row>
    <row r="151" spans="1:43" x14ac:dyDescent="0.25">
      <c r="E151" s="78"/>
      <c r="F151" t="s">
        <v>158</v>
      </c>
      <c r="G151" t="s">
        <v>270</v>
      </c>
      <c r="H151" s="268"/>
      <c r="I151" s="256"/>
      <c r="J151" s="261">
        <f t="shared" ref="J151:J156" si="58">ROUND(J122, $H96)</f>
        <v>0.75800000000000001</v>
      </c>
      <c r="K151" s="261">
        <f t="shared" ref="K151:AO151" si="59">ROUND(K122, $H96)</f>
        <v>0.75800000000000001</v>
      </c>
      <c r="L151" s="261">
        <f t="shared" si="59"/>
        <v>0.81299999999999994</v>
      </c>
      <c r="M151" s="261">
        <f t="shared" si="59"/>
        <v>0.81299999999999994</v>
      </c>
      <c r="N151" s="261">
        <f t="shared" si="59"/>
        <v>0.81299999999999994</v>
      </c>
      <c r="O151" s="261">
        <f t="shared" si="59"/>
        <v>0.81299999999999994</v>
      </c>
      <c r="P151" s="261">
        <f t="shared" si="59"/>
        <v>0.81299999999999994</v>
      </c>
      <c r="Q151" s="261">
        <f t="shared" si="59"/>
        <v>0.81299999999999994</v>
      </c>
      <c r="R151" s="261">
        <f t="shared" si="59"/>
        <v>0.499</v>
      </c>
      <c r="S151" s="261">
        <f t="shared" si="59"/>
        <v>0.499</v>
      </c>
      <c r="T151" s="261">
        <f t="shared" si="59"/>
        <v>0.499</v>
      </c>
      <c r="U151" s="261">
        <f t="shared" si="59"/>
        <v>0.499</v>
      </c>
      <c r="V151" s="261">
        <f t="shared" si="59"/>
        <v>0.499</v>
      </c>
      <c r="W151" s="261">
        <f t="shared" si="59"/>
        <v>0.28499999999999998</v>
      </c>
      <c r="X151" s="261">
        <f t="shared" si="59"/>
        <v>0.28499999999999998</v>
      </c>
      <c r="Y151" s="261">
        <f t="shared" si="59"/>
        <v>0.28499999999999998</v>
      </c>
      <c r="Z151" s="261">
        <f t="shared" si="59"/>
        <v>0.28499999999999998</v>
      </c>
      <c r="AA151" s="261">
        <f t="shared" si="59"/>
        <v>0.28499999999999998</v>
      </c>
      <c r="AB151" s="261">
        <f t="shared" si="59"/>
        <v>0.153</v>
      </c>
      <c r="AC151" s="261">
        <f t="shared" si="59"/>
        <v>0.153</v>
      </c>
      <c r="AD151" s="261">
        <f t="shared" si="59"/>
        <v>0.153</v>
      </c>
      <c r="AE151" s="261">
        <f t="shared" si="59"/>
        <v>0.153</v>
      </c>
      <c r="AF151" s="261">
        <f t="shared" si="59"/>
        <v>0.153</v>
      </c>
      <c r="AG151" s="261">
        <f t="shared" si="59"/>
        <v>4.4939999999999998</v>
      </c>
      <c r="AH151" s="261">
        <f t="shared" si="59"/>
        <v>-0.52</v>
      </c>
      <c r="AI151" s="261">
        <f t="shared" si="59"/>
        <v>-0.44</v>
      </c>
      <c r="AJ151" s="261">
        <f t="shared" si="59"/>
        <v>-0.52</v>
      </c>
      <c r="AK151" s="261">
        <f t="shared" si="59"/>
        <v>-0.52</v>
      </c>
      <c r="AL151" s="261">
        <f t="shared" si="59"/>
        <v>-0.44</v>
      </c>
      <c r="AM151" s="261">
        <f t="shared" si="59"/>
        <v>-0.44</v>
      </c>
      <c r="AN151" s="261">
        <f t="shared" si="59"/>
        <v>-0.191</v>
      </c>
      <c r="AO151" s="261">
        <f t="shared" si="59"/>
        <v>-0.191</v>
      </c>
      <c r="AP151" s="256"/>
      <c r="AQ151" s="256"/>
    </row>
    <row r="152" spans="1:43" x14ac:dyDescent="0.25">
      <c r="E152" s="78"/>
      <c r="F152" t="s">
        <v>159</v>
      </c>
      <c r="G152" t="s">
        <v>270</v>
      </c>
      <c r="H152" s="268"/>
      <c r="I152" s="256"/>
      <c r="J152" s="261">
        <f t="shared" si="58"/>
        <v>5.3999999999999999E-2</v>
      </c>
      <c r="K152" s="261">
        <f t="shared" ref="K152:AO152" si="60">ROUND(K123, $H97)</f>
        <v>5.3999999999999999E-2</v>
      </c>
      <c r="L152" s="261">
        <f t="shared" si="60"/>
        <v>5.7000000000000002E-2</v>
      </c>
      <c r="M152" s="261">
        <f t="shared" si="60"/>
        <v>5.7000000000000002E-2</v>
      </c>
      <c r="N152" s="261">
        <f t="shared" si="60"/>
        <v>5.7000000000000002E-2</v>
      </c>
      <c r="O152" s="261">
        <f t="shared" si="60"/>
        <v>5.7000000000000002E-2</v>
      </c>
      <c r="P152" s="261">
        <f t="shared" si="60"/>
        <v>5.7000000000000002E-2</v>
      </c>
      <c r="Q152" s="261">
        <f t="shared" si="60"/>
        <v>5.7000000000000002E-2</v>
      </c>
      <c r="R152" s="261">
        <f t="shared" si="60"/>
        <v>3.4000000000000002E-2</v>
      </c>
      <c r="S152" s="261">
        <f t="shared" si="60"/>
        <v>3.4000000000000002E-2</v>
      </c>
      <c r="T152" s="261">
        <f t="shared" si="60"/>
        <v>3.4000000000000002E-2</v>
      </c>
      <c r="U152" s="261">
        <f t="shared" si="60"/>
        <v>3.4000000000000002E-2</v>
      </c>
      <c r="V152" s="261">
        <f t="shared" si="60"/>
        <v>3.4000000000000002E-2</v>
      </c>
      <c r="W152" s="261">
        <f t="shared" si="60"/>
        <v>1.6E-2</v>
      </c>
      <c r="X152" s="261">
        <f t="shared" si="60"/>
        <v>1.6E-2</v>
      </c>
      <c r="Y152" s="261">
        <f t="shared" si="60"/>
        <v>1.6E-2</v>
      </c>
      <c r="Z152" s="261">
        <f t="shared" si="60"/>
        <v>1.6E-2</v>
      </c>
      <c r="AA152" s="261">
        <f t="shared" si="60"/>
        <v>1.6E-2</v>
      </c>
      <c r="AB152" s="261">
        <f t="shared" si="60"/>
        <v>6.0000000000000001E-3</v>
      </c>
      <c r="AC152" s="261">
        <f t="shared" si="60"/>
        <v>6.0000000000000001E-3</v>
      </c>
      <c r="AD152" s="261">
        <f t="shared" si="60"/>
        <v>6.0000000000000001E-3</v>
      </c>
      <c r="AE152" s="261">
        <f t="shared" si="60"/>
        <v>6.0000000000000001E-3</v>
      </c>
      <c r="AF152" s="261">
        <f t="shared" si="60"/>
        <v>6.0000000000000001E-3</v>
      </c>
      <c r="AG152" s="261">
        <f t="shared" si="60"/>
        <v>3.601</v>
      </c>
      <c r="AH152" s="261">
        <f t="shared" si="60"/>
        <v>-3.6999999999999998E-2</v>
      </c>
      <c r="AI152" s="261">
        <f t="shared" si="60"/>
        <v>-0.03</v>
      </c>
      <c r="AJ152" s="261">
        <f t="shared" si="60"/>
        <v>-3.6999999999999998E-2</v>
      </c>
      <c r="AK152" s="261">
        <f t="shared" si="60"/>
        <v>-3.6999999999999998E-2</v>
      </c>
      <c r="AL152" s="261">
        <f t="shared" si="60"/>
        <v>-0.03</v>
      </c>
      <c r="AM152" s="261">
        <f t="shared" si="60"/>
        <v>-0.03</v>
      </c>
      <c r="AN152" s="261">
        <f t="shared" si="60"/>
        <v>-0.01</v>
      </c>
      <c r="AO152" s="261">
        <f t="shared" si="60"/>
        <v>-0.01</v>
      </c>
      <c r="AP152" s="256"/>
      <c r="AQ152" s="256"/>
    </row>
    <row r="153" spans="1:43" x14ac:dyDescent="0.25">
      <c r="E153" s="78"/>
      <c r="F153" t="s">
        <v>160</v>
      </c>
      <c r="G153" t="s">
        <v>271</v>
      </c>
      <c r="H153" s="41"/>
      <c r="J153" s="111">
        <f t="shared" si="58"/>
        <v>29.42</v>
      </c>
      <c r="K153" s="111">
        <f t="shared" ref="K153:AO153" si="61">ROUND(K124, $H98)</f>
        <v>0</v>
      </c>
      <c r="L153" s="111">
        <f t="shared" si="61"/>
        <v>12.64</v>
      </c>
      <c r="M153" s="111">
        <f t="shared" si="61"/>
        <v>20.9</v>
      </c>
      <c r="N153" s="111">
        <f t="shared" si="61"/>
        <v>61.37</v>
      </c>
      <c r="O153" s="111">
        <f t="shared" si="61"/>
        <v>129.55000000000001</v>
      </c>
      <c r="P153" s="111">
        <f t="shared" si="61"/>
        <v>393.94</v>
      </c>
      <c r="Q153" s="111">
        <f t="shared" si="61"/>
        <v>0</v>
      </c>
      <c r="R153" s="111">
        <f t="shared" si="61"/>
        <v>17.29</v>
      </c>
      <c r="S153" s="111">
        <f t="shared" si="61"/>
        <v>653.9</v>
      </c>
      <c r="T153" s="111">
        <f t="shared" si="61"/>
        <v>1176.25</v>
      </c>
      <c r="U153" s="111">
        <f t="shared" si="61"/>
        <v>1808.63</v>
      </c>
      <c r="V153" s="111">
        <f t="shared" si="61"/>
        <v>3826.05</v>
      </c>
      <c r="W153" s="111">
        <f t="shared" si="61"/>
        <v>13.66</v>
      </c>
      <c r="X153" s="111">
        <f t="shared" si="61"/>
        <v>650.26</v>
      </c>
      <c r="Y153" s="111">
        <f t="shared" si="61"/>
        <v>1172.6099999999999</v>
      </c>
      <c r="Z153" s="111">
        <f t="shared" si="61"/>
        <v>1805</v>
      </c>
      <c r="AA153" s="111">
        <f t="shared" si="61"/>
        <v>3822.41</v>
      </c>
      <c r="AB153" s="111">
        <f t="shared" si="61"/>
        <v>120.17</v>
      </c>
      <c r="AC153" s="111">
        <f t="shared" si="61"/>
        <v>3900.97</v>
      </c>
      <c r="AD153" s="111">
        <f t="shared" si="61"/>
        <v>9478.2099999999991</v>
      </c>
      <c r="AE153" s="111">
        <f t="shared" si="61"/>
        <v>20867.59</v>
      </c>
      <c r="AF153" s="111">
        <f t="shared" si="61"/>
        <v>52576.94</v>
      </c>
      <c r="AG153" s="111">
        <f t="shared" si="61"/>
        <v>0</v>
      </c>
      <c r="AH153" s="111">
        <f t="shared" si="61"/>
        <v>0</v>
      </c>
      <c r="AI153" s="111">
        <f t="shared" si="61"/>
        <v>0</v>
      </c>
      <c r="AJ153" s="111">
        <f t="shared" si="61"/>
        <v>0</v>
      </c>
      <c r="AK153" s="111">
        <f t="shared" si="61"/>
        <v>0</v>
      </c>
      <c r="AL153" s="111">
        <f t="shared" si="61"/>
        <v>0</v>
      </c>
      <c r="AM153" s="111">
        <f t="shared" si="61"/>
        <v>0</v>
      </c>
      <c r="AN153" s="111">
        <f t="shared" si="61"/>
        <v>74.760000000000005</v>
      </c>
      <c r="AO153" s="111">
        <f t="shared" si="61"/>
        <v>74.760000000000005</v>
      </c>
    </row>
    <row r="154" spans="1:43" x14ac:dyDescent="0.25">
      <c r="E154" s="78"/>
      <c r="F154" t="s">
        <v>161</v>
      </c>
      <c r="G154" t="s">
        <v>272</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5.18</v>
      </c>
      <c r="S154" s="111">
        <f t="shared" si="62"/>
        <v>5.18</v>
      </c>
      <c r="T154" s="111">
        <f t="shared" si="62"/>
        <v>5.18</v>
      </c>
      <c r="U154" s="111">
        <f t="shared" si="62"/>
        <v>5.18</v>
      </c>
      <c r="V154" s="111">
        <f t="shared" si="62"/>
        <v>5.18</v>
      </c>
      <c r="W154" s="111">
        <f t="shared" si="62"/>
        <v>4.8600000000000003</v>
      </c>
      <c r="X154" s="111">
        <f t="shared" si="62"/>
        <v>4.8600000000000003</v>
      </c>
      <c r="Y154" s="111">
        <f t="shared" si="62"/>
        <v>4.8600000000000003</v>
      </c>
      <c r="Z154" s="111">
        <f t="shared" si="62"/>
        <v>4.8600000000000003</v>
      </c>
      <c r="AA154" s="111">
        <f t="shared" si="62"/>
        <v>4.8600000000000003</v>
      </c>
      <c r="AB154" s="111">
        <f t="shared" si="62"/>
        <v>4.09</v>
      </c>
      <c r="AC154" s="111">
        <f t="shared" si="62"/>
        <v>4.09</v>
      </c>
      <c r="AD154" s="111">
        <f t="shared" si="62"/>
        <v>4.09</v>
      </c>
      <c r="AE154" s="111">
        <f t="shared" si="62"/>
        <v>4.09</v>
      </c>
      <c r="AF154" s="111">
        <f t="shared" si="62"/>
        <v>4.09</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162</v>
      </c>
      <c r="G155" t="s">
        <v>272</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10.130000000000001</v>
      </c>
      <c r="S155" s="111">
        <f t="shared" si="63"/>
        <v>10.130000000000001</v>
      </c>
      <c r="T155" s="111">
        <f t="shared" si="63"/>
        <v>10.130000000000001</v>
      </c>
      <c r="U155" s="111">
        <f t="shared" si="63"/>
        <v>10.130000000000001</v>
      </c>
      <c r="V155" s="111">
        <f t="shared" si="63"/>
        <v>10.130000000000001</v>
      </c>
      <c r="W155" s="111">
        <f t="shared" si="63"/>
        <v>8.77</v>
      </c>
      <c r="X155" s="111">
        <f t="shared" si="63"/>
        <v>8.77</v>
      </c>
      <c r="Y155" s="111">
        <f t="shared" si="63"/>
        <v>8.77</v>
      </c>
      <c r="Z155" s="111">
        <f t="shared" si="63"/>
        <v>8.77</v>
      </c>
      <c r="AA155" s="111">
        <f t="shared" si="63"/>
        <v>8.77</v>
      </c>
      <c r="AB155" s="111">
        <f t="shared" si="63"/>
        <v>8.44</v>
      </c>
      <c r="AC155" s="111">
        <f t="shared" si="63"/>
        <v>8.44</v>
      </c>
      <c r="AD155" s="111">
        <f t="shared" si="63"/>
        <v>8.44</v>
      </c>
      <c r="AE155" s="111">
        <f t="shared" si="63"/>
        <v>8.44</v>
      </c>
      <c r="AF155" s="111">
        <f t="shared" si="63"/>
        <v>8.44</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163</v>
      </c>
      <c r="G156" s="28" t="s">
        <v>273</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0.14399999999999999</v>
      </c>
      <c r="S156" s="262">
        <f t="shared" si="64"/>
        <v>0.14399999999999999</v>
      </c>
      <c r="T156" s="262">
        <f t="shared" si="64"/>
        <v>0.14399999999999999</v>
      </c>
      <c r="U156" s="262">
        <f t="shared" si="64"/>
        <v>0.14399999999999999</v>
      </c>
      <c r="V156" s="262">
        <f t="shared" si="64"/>
        <v>0.14399999999999999</v>
      </c>
      <c r="W156" s="262">
        <f t="shared" si="64"/>
        <v>9.2999999999999999E-2</v>
      </c>
      <c r="X156" s="262">
        <f t="shared" si="64"/>
        <v>9.2999999999999999E-2</v>
      </c>
      <c r="Y156" s="262">
        <f t="shared" si="64"/>
        <v>9.2999999999999999E-2</v>
      </c>
      <c r="Z156" s="262">
        <f t="shared" si="64"/>
        <v>9.2999999999999999E-2</v>
      </c>
      <c r="AA156" s="262">
        <f t="shared" si="64"/>
        <v>9.2999999999999999E-2</v>
      </c>
      <c r="AB156" s="262">
        <f t="shared" si="64"/>
        <v>6.0999999999999999E-2</v>
      </c>
      <c r="AC156" s="262">
        <f t="shared" si="64"/>
        <v>6.0999999999999999E-2</v>
      </c>
      <c r="AD156" s="262">
        <f t="shared" si="64"/>
        <v>6.0999999999999999E-2</v>
      </c>
      <c r="AE156" s="262">
        <f t="shared" si="64"/>
        <v>6.0999999999999999E-2</v>
      </c>
      <c r="AF156" s="262">
        <f t="shared" si="64"/>
        <v>6.0999999999999999E-2</v>
      </c>
      <c r="AG156" s="262">
        <f t="shared" si="64"/>
        <v>0</v>
      </c>
      <c r="AH156" s="262">
        <f t="shared" si="64"/>
        <v>0</v>
      </c>
      <c r="AI156" s="262">
        <f t="shared" si="64"/>
        <v>0</v>
      </c>
      <c r="AJ156" s="262">
        <f t="shared" si="64"/>
        <v>0.153</v>
      </c>
      <c r="AK156" s="262">
        <f t="shared" si="64"/>
        <v>0</v>
      </c>
      <c r="AL156" s="262">
        <f t="shared" si="64"/>
        <v>0.12</v>
      </c>
      <c r="AM156" s="262">
        <f t="shared" si="64"/>
        <v>0</v>
      </c>
      <c r="AN156" s="262">
        <f t="shared" si="64"/>
        <v>9.0999999999999998E-2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155</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156</v>
      </c>
    </row>
    <row r="159" spans="1:43" x14ac:dyDescent="0.25">
      <c r="E159" s="78"/>
      <c r="F159" s="19" t="s">
        <v>157</v>
      </c>
      <c r="G159" s="19" t="s">
        <v>270</v>
      </c>
      <c r="H159" s="267"/>
      <c r="I159" s="255"/>
      <c r="J159" s="260">
        <f>ROUND(J130, $H95)</f>
        <v>9.2420000000000009</v>
      </c>
      <c r="K159" s="260">
        <f t="shared" ref="K159:AO159" si="65">ROUND(K130, $H95)</f>
        <v>9.2420000000000009</v>
      </c>
      <c r="L159" s="260">
        <f t="shared" si="65"/>
        <v>9.907</v>
      </c>
      <c r="M159" s="260">
        <f t="shared" si="65"/>
        <v>9.907</v>
      </c>
      <c r="N159" s="260">
        <f t="shared" si="65"/>
        <v>9.907</v>
      </c>
      <c r="O159" s="260">
        <f t="shared" si="65"/>
        <v>9.907</v>
      </c>
      <c r="P159" s="260">
        <f t="shared" si="65"/>
        <v>9.907</v>
      </c>
      <c r="Q159" s="260">
        <f t="shared" si="65"/>
        <v>9.907</v>
      </c>
      <c r="R159" s="260">
        <f t="shared" si="65"/>
        <v>6.6929999999999996</v>
      </c>
      <c r="S159" s="260">
        <f t="shared" si="65"/>
        <v>6.6929999999999996</v>
      </c>
      <c r="T159" s="260">
        <f t="shared" si="65"/>
        <v>6.6929999999999996</v>
      </c>
      <c r="U159" s="260">
        <f t="shared" si="65"/>
        <v>6.6929999999999996</v>
      </c>
      <c r="V159" s="260">
        <f t="shared" si="65"/>
        <v>6.6929999999999996</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26.943000000000001</v>
      </c>
      <c r="AH159" s="260">
        <f t="shared" si="65"/>
        <v>-10.4</v>
      </c>
      <c r="AI159" s="269">
        <f t="shared" si="65"/>
        <v>0</v>
      </c>
      <c r="AJ159" s="260">
        <f t="shared" si="65"/>
        <v>-10.4</v>
      </c>
      <c r="AK159" s="269">
        <f t="shared" si="65"/>
        <v>0</v>
      </c>
      <c r="AL159" s="269">
        <f t="shared" si="65"/>
        <v>0</v>
      </c>
      <c r="AM159" s="269">
        <f t="shared" si="65"/>
        <v>0</v>
      </c>
      <c r="AN159" s="269">
        <f t="shared" si="65"/>
        <v>0</v>
      </c>
      <c r="AO159" s="269">
        <f t="shared" si="65"/>
        <v>0</v>
      </c>
      <c r="AP159" s="256"/>
      <c r="AQ159" s="256"/>
    </row>
    <row r="160" spans="1:43" x14ac:dyDescent="0.25">
      <c r="E160" s="78"/>
      <c r="F160" t="s">
        <v>158</v>
      </c>
      <c r="G160" t="s">
        <v>270</v>
      </c>
      <c r="H160" s="268"/>
      <c r="I160" s="256"/>
      <c r="J160" s="261">
        <f t="shared" ref="J160:J165" si="66">ROUND(J131, $H96)</f>
        <v>0.46200000000000002</v>
      </c>
      <c r="K160" s="261">
        <f t="shared" ref="K160:AO160" si="67">ROUND(K131, $H96)</f>
        <v>0.46200000000000002</v>
      </c>
      <c r="L160" s="261">
        <f t="shared" si="67"/>
        <v>0.495</v>
      </c>
      <c r="M160" s="261">
        <f t="shared" si="67"/>
        <v>0.495</v>
      </c>
      <c r="N160" s="261">
        <f t="shared" si="67"/>
        <v>0.495</v>
      </c>
      <c r="O160" s="261">
        <f t="shared" si="67"/>
        <v>0.495</v>
      </c>
      <c r="P160" s="261">
        <f t="shared" si="67"/>
        <v>0.495</v>
      </c>
      <c r="Q160" s="261">
        <f t="shared" si="67"/>
        <v>0.495</v>
      </c>
      <c r="R160" s="261">
        <f t="shared" si="67"/>
        <v>0.30399999999999999</v>
      </c>
      <c r="S160" s="261">
        <f t="shared" si="67"/>
        <v>0.30399999999999999</v>
      </c>
      <c r="T160" s="261">
        <f t="shared" si="67"/>
        <v>0.30399999999999999</v>
      </c>
      <c r="U160" s="261">
        <f t="shared" si="67"/>
        <v>0.30399999999999999</v>
      </c>
      <c r="V160" s="261">
        <f t="shared" si="67"/>
        <v>0.30399999999999999</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2.7389999999999999</v>
      </c>
      <c r="AH160" s="261">
        <f t="shared" si="67"/>
        <v>-0.52</v>
      </c>
      <c r="AI160" s="257">
        <f t="shared" si="67"/>
        <v>0</v>
      </c>
      <c r="AJ160" s="261">
        <f t="shared" si="67"/>
        <v>-0.52</v>
      </c>
      <c r="AK160" s="257">
        <f t="shared" si="67"/>
        <v>0</v>
      </c>
      <c r="AL160" s="257">
        <f t="shared" si="67"/>
        <v>0</v>
      </c>
      <c r="AM160" s="257">
        <f t="shared" si="67"/>
        <v>0</v>
      </c>
      <c r="AN160" s="257">
        <f t="shared" si="67"/>
        <v>0</v>
      </c>
      <c r="AO160" s="257">
        <f t="shared" si="67"/>
        <v>0</v>
      </c>
      <c r="AP160" s="256"/>
      <c r="AQ160" s="256"/>
    </row>
    <row r="161" spans="2:43" x14ac:dyDescent="0.25">
      <c r="E161" s="78"/>
      <c r="F161" t="s">
        <v>159</v>
      </c>
      <c r="G161" t="s">
        <v>270</v>
      </c>
      <c r="H161" s="268"/>
      <c r="I161" s="256"/>
      <c r="J161" s="261">
        <f t="shared" si="66"/>
        <v>3.3000000000000002E-2</v>
      </c>
      <c r="K161" s="261">
        <f t="shared" ref="K161:AO161" si="68">ROUND(K132, $H97)</f>
        <v>3.3000000000000002E-2</v>
      </c>
      <c r="L161" s="261">
        <f t="shared" si="68"/>
        <v>3.5000000000000003E-2</v>
      </c>
      <c r="M161" s="261">
        <f t="shared" si="68"/>
        <v>3.5000000000000003E-2</v>
      </c>
      <c r="N161" s="261">
        <f t="shared" si="68"/>
        <v>3.5000000000000003E-2</v>
      </c>
      <c r="O161" s="261">
        <f t="shared" si="68"/>
        <v>3.5000000000000003E-2</v>
      </c>
      <c r="P161" s="261">
        <f t="shared" si="68"/>
        <v>3.5000000000000003E-2</v>
      </c>
      <c r="Q161" s="261">
        <f t="shared" si="68"/>
        <v>3.5000000000000003E-2</v>
      </c>
      <c r="R161" s="261">
        <f t="shared" si="68"/>
        <v>0.02</v>
      </c>
      <c r="S161" s="261">
        <f t="shared" si="68"/>
        <v>0.02</v>
      </c>
      <c r="T161" s="261">
        <f t="shared" si="68"/>
        <v>0.02</v>
      </c>
      <c r="U161" s="261">
        <f t="shared" si="68"/>
        <v>0.02</v>
      </c>
      <c r="V161" s="261">
        <f t="shared" si="68"/>
        <v>0.02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2.1949999999999998</v>
      </c>
      <c r="AH161" s="261">
        <f t="shared" si="68"/>
        <v>-3.6999999999999998E-2</v>
      </c>
      <c r="AI161" s="257">
        <f t="shared" si="68"/>
        <v>0</v>
      </c>
      <c r="AJ161" s="261">
        <f t="shared" si="68"/>
        <v>-3.6999999999999998E-2</v>
      </c>
      <c r="AK161" s="257">
        <f t="shared" si="68"/>
        <v>0</v>
      </c>
      <c r="AL161" s="257">
        <f t="shared" si="68"/>
        <v>0</v>
      </c>
      <c r="AM161" s="257">
        <f t="shared" si="68"/>
        <v>0</v>
      </c>
      <c r="AN161" s="257">
        <f t="shared" si="68"/>
        <v>0</v>
      </c>
      <c r="AO161" s="257">
        <f t="shared" si="68"/>
        <v>0</v>
      </c>
      <c r="AP161" s="256"/>
      <c r="AQ161" s="256"/>
    </row>
    <row r="162" spans="2:43" x14ac:dyDescent="0.25">
      <c r="E162" s="78"/>
      <c r="F162" t="s">
        <v>160</v>
      </c>
      <c r="G162" t="s">
        <v>271</v>
      </c>
      <c r="H162" s="41"/>
      <c r="J162" s="111">
        <f t="shared" si="66"/>
        <v>18.29</v>
      </c>
      <c r="K162" s="111">
        <f t="shared" ref="K162:AO162" si="69">ROUND(K133, $H98)</f>
        <v>0</v>
      </c>
      <c r="L162" s="111">
        <f t="shared" si="69"/>
        <v>7.98</v>
      </c>
      <c r="M162" s="111">
        <f t="shared" si="69"/>
        <v>13.02</v>
      </c>
      <c r="N162" s="111">
        <f t="shared" si="69"/>
        <v>37.68</v>
      </c>
      <c r="O162" s="111">
        <f t="shared" si="69"/>
        <v>79.23</v>
      </c>
      <c r="P162" s="111">
        <f t="shared" si="69"/>
        <v>240.36</v>
      </c>
      <c r="Q162" s="111">
        <f t="shared" si="69"/>
        <v>0</v>
      </c>
      <c r="R162" s="111">
        <f t="shared" si="69"/>
        <v>10.82</v>
      </c>
      <c r="S162" s="111">
        <f t="shared" si="69"/>
        <v>398.78</v>
      </c>
      <c r="T162" s="111">
        <f t="shared" si="69"/>
        <v>717.11</v>
      </c>
      <c r="U162" s="111">
        <f t="shared" si="69"/>
        <v>1102.5</v>
      </c>
      <c r="V162" s="111">
        <f t="shared" si="69"/>
        <v>2331.9499999999998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161</v>
      </c>
      <c r="G163" t="s">
        <v>272</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3.15</v>
      </c>
      <c r="S163" s="111">
        <f t="shared" si="70"/>
        <v>3.15</v>
      </c>
      <c r="T163" s="111">
        <f t="shared" si="70"/>
        <v>3.15</v>
      </c>
      <c r="U163" s="111">
        <f t="shared" si="70"/>
        <v>3.15</v>
      </c>
      <c r="V163" s="111">
        <f t="shared" si="70"/>
        <v>3.15</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162</v>
      </c>
      <c r="G164" t="s">
        <v>272</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6.18</v>
      </c>
      <c r="S164" s="111">
        <f t="shared" si="71"/>
        <v>6.18</v>
      </c>
      <c r="T164" s="111">
        <f t="shared" si="71"/>
        <v>6.18</v>
      </c>
      <c r="U164" s="111">
        <f t="shared" si="71"/>
        <v>6.18</v>
      </c>
      <c r="V164" s="111">
        <f t="shared" si="71"/>
        <v>6.18</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163</v>
      </c>
      <c r="G165" s="28" t="s">
        <v>273</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8.7999999999999995E-2</v>
      </c>
      <c r="S165" s="262">
        <f t="shared" si="72"/>
        <v>8.7999999999999995E-2</v>
      </c>
      <c r="T165" s="262">
        <f t="shared" si="72"/>
        <v>8.7999999999999995E-2</v>
      </c>
      <c r="U165" s="262">
        <f t="shared" si="72"/>
        <v>8.7999999999999995E-2</v>
      </c>
      <c r="V165" s="262">
        <f t="shared" si="72"/>
        <v>8.7999999999999995E-2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0.153</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155</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156</v>
      </c>
    </row>
    <row r="168" spans="2:43" x14ac:dyDescent="0.25">
      <c r="C168" s="78"/>
      <c r="F168" s="19" t="s">
        <v>157</v>
      </c>
      <c r="G168" s="19" t="s">
        <v>270</v>
      </c>
      <c r="H168" s="267"/>
      <c r="I168" s="255"/>
      <c r="J168" s="260">
        <f t="shared" ref="J168" si="73">ROUND( J139, $H95)</f>
        <v>6.3019999999999996</v>
      </c>
      <c r="K168" s="260">
        <f t="shared" ref="K168:AO168" si="74">ROUND( K139, $H95)</f>
        <v>6.3019999999999996</v>
      </c>
      <c r="L168" s="260">
        <f t="shared" si="74"/>
        <v>6.7549999999999999</v>
      </c>
      <c r="M168" s="260">
        <f t="shared" si="74"/>
        <v>6.7549999999999999</v>
      </c>
      <c r="N168" s="260">
        <f t="shared" si="74"/>
        <v>6.7549999999999999</v>
      </c>
      <c r="O168" s="260">
        <f t="shared" si="74"/>
        <v>6.7549999999999999</v>
      </c>
      <c r="P168" s="260">
        <f t="shared" si="74"/>
        <v>6.7549999999999999</v>
      </c>
      <c r="Q168" s="260">
        <f t="shared" si="74"/>
        <v>6.7549999999999999</v>
      </c>
      <c r="R168" s="260">
        <f t="shared" si="74"/>
        <v>4.5640000000000001</v>
      </c>
      <c r="S168" s="260">
        <f t="shared" si="74"/>
        <v>4.5640000000000001</v>
      </c>
      <c r="T168" s="260">
        <f t="shared" si="74"/>
        <v>4.5640000000000001</v>
      </c>
      <c r="U168" s="260">
        <f t="shared" si="74"/>
        <v>4.5640000000000001</v>
      </c>
      <c r="V168" s="260">
        <f t="shared" si="74"/>
        <v>4.5640000000000001</v>
      </c>
      <c r="W168" s="260">
        <f t="shared" si="74"/>
        <v>5.59</v>
      </c>
      <c r="X168" s="260">
        <f t="shared" si="74"/>
        <v>5.59</v>
      </c>
      <c r="Y168" s="260">
        <f t="shared" si="74"/>
        <v>5.59</v>
      </c>
      <c r="Z168" s="260">
        <f t="shared" si="74"/>
        <v>5.59</v>
      </c>
      <c r="AA168" s="260">
        <f t="shared" si="74"/>
        <v>5.59</v>
      </c>
      <c r="AB168" s="260">
        <f t="shared" si="74"/>
        <v>4.673</v>
      </c>
      <c r="AC168" s="260">
        <f t="shared" si="74"/>
        <v>4.673</v>
      </c>
      <c r="AD168" s="260">
        <f t="shared" si="74"/>
        <v>4.673</v>
      </c>
      <c r="AE168" s="260">
        <f t="shared" si="74"/>
        <v>4.673</v>
      </c>
      <c r="AF168" s="260">
        <f t="shared" si="74"/>
        <v>4.673</v>
      </c>
      <c r="AG168" s="260">
        <f t="shared" si="74"/>
        <v>18.370999999999999</v>
      </c>
      <c r="AH168" s="260">
        <f t="shared" si="74"/>
        <v>-10.4</v>
      </c>
      <c r="AI168" s="260">
        <f t="shared" si="74"/>
        <v>-9.3209999999999997</v>
      </c>
      <c r="AJ168" s="260">
        <f t="shared" si="74"/>
        <v>-10.4</v>
      </c>
      <c r="AK168" s="269">
        <f t="shared" si="74"/>
        <v>0</v>
      </c>
      <c r="AL168" s="260">
        <f t="shared" si="74"/>
        <v>-9.3209999999999997</v>
      </c>
      <c r="AM168" s="269">
        <f t="shared" si="74"/>
        <v>0</v>
      </c>
      <c r="AN168" s="260">
        <f t="shared" si="74"/>
        <v>-5.9269999999999996</v>
      </c>
      <c r="AO168" s="269">
        <f t="shared" si="74"/>
        <v>0</v>
      </c>
      <c r="AP168" s="256"/>
      <c r="AQ168" s="256"/>
    </row>
    <row r="169" spans="2:43" x14ac:dyDescent="0.25">
      <c r="C169" s="78"/>
      <c r="F169" t="s">
        <v>158</v>
      </c>
      <c r="G169" t="s">
        <v>270</v>
      </c>
      <c r="H169" s="268"/>
      <c r="I169" s="256"/>
      <c r="J169" s="261">
        <f t="shared" ref="J169:J174" si="75">ROUND( J140, $H96)</f>
        <v>0.315</v>
      </c>
      <c r="K169" s="261">
        <f t="shared" ref="K169:AO169" si="76">ROUND( K140, $H96)</f>
        <v>0.315</v>
      </c>
      <c r="L169" s="261">
        <f t="shared" si="76"/>
        <v>0.33800000000000002</v>
      </c>
      <c r="M169" s="261">
        <f t="shared" si="76"/>
        <v>0.33800000000000002</v>
      </c>
      <c r="N169" s="261">
        <f t="shared" si="76"/>
        <v>0.33800000000000002</v>
      </c>
      <c r="O169" s="261">
        <f t="shared" si="76"/>
        <v>0.33800000000000002</v>
      </c>
      <c r="P169" s="261">
        <f t="shared" si="76"/>
        <v>0.33800000000000002</v>
      </c>
      <c r="Q169" s="261">
        <f t="shared" si="76"/>
        <v>0.33800000000000002</v>
      </c>
      <c r="R169" s="261">
        <f t="shared" si="76"/>
        <v>0.20799999999999999</v>
      </c>
      <c r="S169" s="261">
        <f t="shared" si="76"/>
        <v>0.20799999999999999</v>
      </c>
      <c r="T169" s="261">
        <f t="shared" si="76"/>
        <v>0.20799999999999999</v>
      </c>
      <c r="U169" s="261">
        <f t="shared" si="76"/>
        <v>0.20799999999999999</v>
      </c>
      <c r="V169" s="261">
        <f t="shared" si="76"/>
        <v>0.20799999999999999</v>
      </c>
      <c r="W169" s="261">
        <f t="shared" si="76"/>
        <v>0.19900000000000001</v>
      </c>
      <c r="X169" s="261">
        <f t="shared" si="76"/>
        <v>0.19900000000000001</v>
      </c>
      <c r="Y169" s="261">
        <f t="shared" si="76"/>
        <v>0.19900000000000001</v>
      </c>
      <c r="Z169" s="261">
        <f t="shared" si="76"/>
        <v>0.19900000000000001</v>
      </c>
      <c r="AA169" s="261">
        <f t="shared" si="76"/>
        <v>0.19900000000000001</v>
      </c>
      <c r="AB169" s="261">
        <f t="shared" si="76"/>
        <v>0.126</v>
      </c>
      <c r="AC169" s="261">
        <f t="shared" si="76"/>
        <v>0.126</v>
      </c>
      <c r="AD169" s="261">
        <f t="shared" si="76"/>
        <v>0.126</v>
      </c>
      <c r="AE169" s="261">
        <f t="shared" si="76"/>
        <v>0.126</v>
      </c>
      <c r="AF169" s="261">
        <f t="shared" si="76"/>
        <v>0.126</v>
      </c>
      <c r="AG169" s="261">
        <f t="shared" si="76"/>
        <v>1.867</v>
      </c>
      <c r="AH169" s="261">
        <f t="shared" si="76"/>
        <v>-0.52</v>
      </c>
      <c r="AI169" s="261">
        <f t="shared" si="76"/>
        <v>-0.44</v>
      </c>
      <c r="AJ169" s="261">
        <f t="shared" si="76"/>
        <v>-0.52</v>
      </c>
      <c r="AK169" s="257">
        <f t="shared" si="76"/>
        <v>0</v>
      </c>
      <c r="AL169" s="261">
        <f t="shared" si="76"/>
        <v>-0.44</v>
      </c>
      <c r="AM169" s="257">
        <f t="shared" si="76"/>
        <v>0</v>
      </c>
      <c r="AN169" s="261">
        <f t="shared" si="76"/>
        <v>-0.191</v>
      </c>
      <c r="AO169" s="257">
        <f t="shared" si="76"/>
        <v>0</v>
      </c>
      <c r="AP169" s="256"/>
      <c r="AQ169" s="256"/>
    </row>
    <row r="170" spans="2:43" x14ac:dyDescent="0.25">
      <c r="C170" s="78"/>
      <c r="F170" t="s">
        <v>159</v>
      </c>
      <c r="G170" t="s">
        <v>270</v>
      </c>
      <c r="H170" s="268"/>
      <c r="I170" s="256"/>
      <c r="J170" s="261">
        <f t="shared" si="75"/>
        <v>2.1999999999999999E-2</v>
      </c>
      <c r="K170" s="261">
        <f t="shared" ref="K170:AO170" si="77">ROUND( K141, $H97)</f>
        <v>2.1999999999999999E-2</v>
      </c>
      <c r="L170" s="261">
        <f t="shared" si="77"/>
        <v>2.4E-2</v>
      </c>
      <c r="M170" s="261">
        <f t="shared" si="77"/>
        <v>2.4E-2</v>
      </c>
      <c r="N170" s="261">
        <f t="shared" si="77"/>
        <v>2.4E-2</v>
      </c>
      <c r="O170" s="261">
        <f t="shared" si="77"/>
        <v>2.4E-2</v>
      </c>
      <c r="P170" s="261">
        <f t="shared" si="77"/>
        <v>2.4E-2</v>
      </c>
      <c r="Q170" s="261">
        <f t="shared" si="77"/>
        <v>2.4E-2</v>
      </c>
      <c r="R170" s="261">
        <f t="shared" si="77"/>
        <v>1.4E-2</v>
      </c>
      <c r="S170" s="261">
        <f t="shared" si="77"/>
        <v>1.4E-2</v>
      </c>
      <c r="T170" s="261">
        <f t="shared" si="77"/>
        <v>1.4E-2</v>
      </c>
      <c r="U170" s="261">
        <f t="shared" si="77"/>
        <v>1.4E-2</v>
      </c>
      <c r="V170" s="261">
        <f t="shared" si="77"/>
        <v>1.4E-2</v>
      </c>
      <c r="W170" s="261">
        <f t="shared" si="77"/>
        <v>1.0999999999999999E-2</v>
      </c>
      <c r="X170" s="261">
        <f t="shared" si="77"/>
        <v>1.0999999999999999E-2</v>
      </c>
      <c r="Y170" s="261">
        <f t="shared" si="77"/>
        <v>1.0999999999999999E-2</v>
      </c>
      <c r="Z170" s="261">
        <f t="shared" si="77"/>
        <v>1.0999999999999999E-2</v>
      </c>
      <c r="AA170" s="261">
        <f t="shared" si="77"/>
        <v>1.0999999999999999E-2</v>
      </c>
      <c r="AB170" s="261">
        <f t="shared" si="77"/>
        <v>5.0000000000000001E-3</v>
      </c>
      <c r="AC170" s="261">
        <f t="shared" si="77"/>
        <v>5.0000000000000001E-3</v>
      </c>
      <c r="AD170" s="261">
        <f t="shared" si="77"/>
        <v>5.0000000000000001E-3</v>
      </c>
      <c r="AE170" s="261">
        <f t="shared" si="77"/>
        <v>5.0000000000000001E-3</v>
      </c>
      <c r="AF170" s="261">
        <f t="shared" si="77"/>
        <v>5.0000000000000001E-3</v>
      </c>
      <c r="AG170" s="261">
        <f t="shared" si="77"/>
        <v>1.496</v>
      </c>
      <c r="AH170" s="261">
        <f t="shared" si="77"/>
        <v>-3.6999999999999998E-2</v>
      </c>
      <c r="AI170" s="261">
        <f t="shared" si="77"/>
        <v>-0.03</v>
      </c>
      <c r="AJ170" s="261">
        <f t="shared" si="77"/>
        <v>-3.6999999999999998E-2</v>
      </c>
      <c r="AK170" s="257">
        <f t="shared" si="77"/>
        <v>0</v>
      </c>
      <c r="AL170" s="261">
        <f t="shared" si="77"/>
        <v>-0.03</v>
      </c>
      <c r="AM170" s="257">
        <f t="shared" si="77"/>
        <v>0</v>
      </c>
      <c r="AN170" s="261">
        <f t="shared" si="77"/>
        <v>-0.01</v>
      </c>
      <c r="AO170" s="257">
        <f t="shared" si="77"/>
        <v>0</v>
      </c>
      <c r="AP170" s="256"/>
      <c r="AQ170" s="256"/>
    </row>
    <row r="171" spans="2:43" x14ac:dyDescent="0.25">
      <c r="C171" s="78"/>
      <c r="F171" t="s">
        <v>160</v>
      </c>
      <c r="G171" t="s">
        <v>271</v>
      </c>
      <c r="H171" s="41"/>
      <c r="J171" s="111">
        <f t="shared" si="75"/>
        <v>12.76</v>
      </c>
      <c r="K171" s="111">
        <f t="shared" ref="K171:AO171" si="78">ROUND( K142, $H98)</f>
        <v>0</v>
      </c>
      <c r="L171" s="111">
        <f t="shared" si="78"/>
        <v>5.67</v>
      </c>
      <c r="M171" s="111">
        <f t="shared" si="78"/>
        <v>9.1</v>
      </c>
      <c r="N171" s="111">
        <f t="shared" si="78"/>
        <v>25.92</v>
      </c>
      <c r="O171" s="111">
        <f t="shared" si="78"/>
        <v>54.25</v>
      </c>
      <c r="P171" s="111">
        <f t="shared" si="78"/>
        <v>164.12</v>
      </c>
      <c r="Q171" s="111">
        <f t="shared" si="78"/>
        <v>0</v>
      </c>
      <c r="R171" s="111">
        <f t="shared" si="78"/>
        <v>7.61</v>
      </c>
      <c r="S171" s="111">
        <f t="shared" si="78"/>
        <v>272.14</v>
      </c>
      <c r="T171" s="111">
        <f t="shared" si="78"/>
        <v>489.2</v>
      </c>
      <c r="U171" s="111">
        <f t="shared" si="78"/>
        <v>751.98</v>
      </c>
      <c r="V171" s="111">
        <f t="shared" si="78"/>
        <v>1590.29</v>
      </c>
      <c r="W171" s="111">
        <f t="shared" si="78"/>
        <v>9.75</v>
      </c>
      <c r="X171" s="111">
        <f t="shared" si="78"/>
        <v>453.85</v>
      </c>
      <c r="Y171" s="111">
        <f t="shared" si="78"/>
        <v>818.26</v>
      </c>
      <c r="Z171" s="111">
        <f t="shared" si="78"/>
        <v>1259.43</v>
      </c>
      <c r="AA171" s="111">
        <f t="shared" si="78"/>
        <v>2666.82</v>
      </c>
      <c r="AB171" s="111">
        <f t="shared" si="78"/>
        <v>99.57</v>
      </c>
      <c r="AC171" s="111">
        <f t="shared" si="78"/>
        <v>3228.17</v>
      </c>
      <c r="AD171" s="111">
        <f t="shared" si="78"/>
        <v>7843.33</v>
      </c>
      <c r="AE171" s="111">
        <f t="shared" si="78"/>
        <v>17268.04</v>
      </c>
      <c r="AF171" s="111">
        <f t="shared" si="78"/>
        <v>43507.5</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161</v>
      </c>
      <c r="G172" t="s">
        <v>272</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2.15</v>
      </c>
      <c r="S172" s="111">
        <f t="shared" si="79"/>
        <v>2.15</v>
      </c>
      <c r="T172" s="111">
        <f t="shared" si="79"/>
        <v>2.15</v>
      </c>
      <c r="U172" s="111">
        <f t="shared" si="79"/>
        <v>2.15</v>
      </c>
      <c r="V172" s="111">
        <f t="shared" si="79"/>
        <v>2.15</v>
      </c>
      <c r="W172" s="111">
        <f t="shared" si="79"/>
        <v>3.39</v>
      </c>
      <c r="X172" s="111">
        <f t="shared" si="79"/>
        <v>3.39</v>
      </c>
      <c r="Y172" s="111">
        <f t="shared" si="79"/>
        <v>3.39</v>
      </c>
      <c r="Z172" s="111">
        <f t="shared" si="79"/>
        <v>3.39</v>
      </c>
      <c r="AA172" s="111">
        <f t="shared" si="79"/>
        <v>3.39</v>
      </c>
      <c r="AB172" s="111">
        <f t="shared" si="79"/>
        <v>3.39</v>
      </c>
      <c r="AC172" s="111">
        <f t="shared" si="79"/>
        <v>3.39</v>
      </c>
      <c r="AD172" s="111">
        <f t="shared" si="79"/>
        <v>3.39</v>
      </c>
      <c r="AE172" s="111">
        <f t="shared" si="79"/>
        <v>3.39</v>
      </c>
      <c r="AF172" s="111">
        <f t="shared" si="79"/>
        <v>3.39</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162</v>
      </c>
      <c r="G173" t="s">
        <v>272</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4.21</v>
      </c>
      <c r="S173" s="111">
        <f t="shared" si="80"/>
        <v>4.21</v>
      </c>
      <c r="T173" s="111">
        <f t="shared" si="80"/>
        <v>4.21</v>
      </c>
      <c r="U173" s="111">
        <f t="shared" si="80"/>
        <v>4.21</v>
      </c>
      <c r="V173" s="111">
        <f t="shared" si="80"/>
        <v>4.21</v>
      </c>
      <c r="W173" s="111">
        <f t="shared" si="80"/>
        <v>6.12</v>
      </c>
      <c r="X173" s="111">
        <f t="shared" si="80"/>
        <v>6.12</v>
      </c>
      <c r="Y173" s="111">
        <f t="shared" si="80"/>
        <v>6.12</v>
      </c>
      <c r="Z173" s="111">
        <f t="shared" si="80"/>
        <v>6.12</v>
      </c>
      <c r="AA173" s="111">
        <f t="shared" si="80"/>
        <v>6.12</v>
      </c>
      <c r="AB173" s="111">
        <f t="shared" si="80"/>
        <v>6.98</v>
      </c>
      <c r="AC173" s="111">
        <f t="shared" si="80"/>
        <v>6.98</v>
      </c>
      <c r="AD173" s="111">
        <f t="shared" si="80"/>
        <v>6.98</v>
      </c>
      <c r="AE173" s="111">
        <f t="shared" si="80"/>
        <v>6.98</v>
      </c>
      <c r="AF173" s="111">
        <f t="shared" si="80"/>
        <v>6.98</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163</v>
      </c>
      <c r="G174" s="28" t="s">
        <v>273</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0.06</v>
      </c>
      <c r="S174" s="262">
        <f t="shared" si="81"/>
        <v>0.06</v>
      </c>
      <c r="T174" s="262">
        <f t="shared" si="81"/>
        <v>0.06</v>
      </c>
      <c r="U174" s="262">
        <f t="shared" si="81"/>
        <v>0.06</v>
      </c>
      <c r="V174" s="262">
        <f t="shared" si="81"/>
        <v>0.06</v>
      </c>
      <c r="W174" s="262">
        <f t="shared" si="81"/>
        <v>6.5000000000000002E-2</v>
      </c>
      <c r="X174" s="262">
        <f t="shared" si="81"/>
        <v>6.5000000000000002E-2</v>
      </c>
      <c r="Y174" s="262">
        <f t="shared" si="81"/>
        <v>6.5000000000000002E-2</v>
      </c>
      <c r="Z174" s="262">
        <f t="shared" si="81"/>
        <v>6.5000000000000002E-2</v>
      </c>
      <c r="AA174" s="262">
        <f t="shared" si="81"/>
        <v>6.5000000000000002E-2</v>
      </c>
      <c r="AB174" s="262">
        <f t="shared" si="81"/>
        <v>0.05</v>
      </c>
      <c r="AC174" s="262">
        <f t="shared" si="81"/>
        <v>0.05</v>
      </c>
      <c r="AD174" s="262">
        <f t="shared" si="81"/>
        <v>0.05</v>
      </c>
      <c r="AE174" s="262">
        <f t="shared" si="81"/>
        <v>0.05</v>
      </c>
      <c r="AF174" s="262">
        <f t="shared" si="81"/>
        <v>0.05</v>
      </c>
      <c r="AG174" s="262">
        <f t="shared" si="81"/>
        <v>0</v>
      </c>
      <c r="AH174" s="262">
        <f t="shared" si="81"/>
        <v>0</v>
      </c>
      <c r="AI174" s="262">
        <f t="shared" si="81"/>
        <v>0</v>
      </c>
      <c r="AJ174" s="262">
        <f t="shared" si="81"/>
        <v>0.153</v>
      </c>
      <c r="AK174" s="259">
        <f t="shared" si="81"/>
        <v>0</v>
      </c>
      <c r="AL174" s="262">
        <f t="shared" si="81"/>
        <v>0.12</v>
      </c>
      <c r="AM174" s="259">
        <f t="shared" si="81"/>
        <v>0</v>
      </c>
      <c r="AN174" s="262">
        <f t="shared" si="81"/>
        <v>9.0999999999999998E-2</v>
      </c>
      <c r="AO174" s="259">
        <f t="shared" si="81"/>
        <v>0</v>
      </c>
      <c r="AP174" s="256"/>
      <c r="AQ174" s="256"/>
    </row>
    <row r="175" spans="2:43" x14ac:dyDescent="0.25">
      <c r="C175" s="78"/>
    </row>
    <row r="176" spans="2:43" x14ac:dyDescent="0.25">
      <c r="B176" s="25" t="s">
        <v>232</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233</v>
      </c>
      <c r="G178" s="6" t="s">
        <v>56</v>
      </c>
      <c r="H178" s="93">
        <f t="array" ref="H178">SUM(IF(ISERROR(H20:AO174), 1))</f>
        <v>0</v>
      </c>
    </row>
    <row r="180" spans="2:43" x14ac:dyDescent="0.25">
      <c r="B180" s="25" t="s">
        <v>107</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56" t="s">
        <v>1005</v>
      </c>
      <c r="G15" s="356" t="s">
        <v>150</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3:43" x14ac:dyDescent="0.25">
      <c r="C17" s="41"/>
      <c r="D17" s="41"/>
      <c r="E17" s="356" t="s">
        <v>939</v>
      </c>
      <c r="G17" s="356" t="s">
        <v>150</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25">
      <c r="D18" s="27"/>
    </row>
    <row r="19" spans="3:43" x14ac:dyDescent="0.25">
      <c r="E19" s="27" t="s">
        <v>246</v>
      </c>
      <c r="I19" t="s">
        <v>155</v>
      </c>
      <c r="AQ19" t="s">
        <v>247</v>
      </c>
    </row>
    <row r="20" spans="3:43" x14ac:dyDescent="0.25">
      <c r="E20" s="27"/>
      <c r="F20" s="24" t="s">
        <v>1034</v>
      </c>
    </row>
    <row r="21" spans="3:43" x14ac:dyDescent="0.25">
      <c r="E21" s="27"/>
      <c r="F21" s="24" t="s">
        <v>1030</v>
      </c>
    </row>
    <row r="22" spans="3:43" x14ac:dyDescent="0.25">
      <c r="F22" s="68" t="s">
        <v>248</v>
      </c>
      <c r="G22" s="68" t="s">
        <v>208</v>
      </c>
      <c r="H22" s="310">
        <v>0</v>
      </c>
      <c r="I22" s="19"/>
      <c r="J22" s="183">
        <f>INDEX('Volume adjustments'!$J$527:$Y$567,J$17 + 1 + $H22*$H$28, J$15)</f>
        <v>420426.20138777059</v>
      </c>
      <c r="K22" s="183">
        <f>INDEX('Volume adjustments'!$J$527:$Y$567,K$17 + 1 + $H22*$H$28, K$15)</f>
        <v>35.655431680661394</v>
      </c>
      <c r="L22" s="183">
        <f>INDEX('Volume adjustments'!$J$527:$Y$567,L$17 + 1 + $H22*$H$28, L$15)</f>
        <v>1.9523606526883828</v>
      </c>
      <c r="M22" s="183">
        <f>INDEX('Volume adjustments'!$J$527:$Y$567,M$17 + 1 + $H22*$H$28, M$15)</f>
        <v>5210.3708476135234</v>
      </c>
      <c r="N22" s="183">
        <f>INDEX('Volume adjustments'!$J$527:$Y$567,N$17 + 1 + $H22*$H$28, N$15)</f>
        <v>20841.563482664376</v>
      </c>
      <c r="O22" s="183">
        <f>INDEX('Volume adjustments'!$J$527:$Y$567,O$17 + 1 + $H22*$H$28, O$15)</f>
        <v>20527.429434803831</v>
      </c>
      <c r="P22" s="183">
        <f>INDEX('Volume adjustments'!$J$527:$Y$567,P$17 + 1 + $H22*$H$28, P$15)</f>
        <v>68146.604314189986</v>
      </c>
      <c r="Q22" s="183">
        <f>INDEX('Volume adjustments'!$J$527:$Y$567,Q$17 + 1 + $H22*$H$28, Q$15)</f>
        <v>26.359392987120788</v>
      </c>
      <c r="R22" s="183">
        <f>INDEX('Volume adjustments'!$J$527:$Y$567,R$17 + 1 + $H22*$H$28, R$15)</f>
        <v>111.75875708433344</v>
      </c>
      <c r="S22" s="183">
        <f>INDEX('Volume adjustments'!$J$527:$Y$567,S$17 + 1 + $H22*$H$28, S$15)</f>
        <v>25700.169383843495</v>
      </c>
      <c r="T22" s="183">
        <f>INDEX('Volume adjustments'!$J$527:$Y$567,T$17 + 1 + $H22*$H$28, T$15)</f>
        <v>29511.379151767269</v>
      </c>
      <c r="U22" s="183">
        <f>INDEX('Volume adjustments'!$J$527:$Y$567,U$17 + 1 + $H22*$H$28, U$15)</f>
        <v>14737.907269907626</v>
      </c>
      <c r="V22" s="183">
        <f>INDEX('Volume adjustments'!$J$527:$Y$567,V$17 + 1 + $H22*$H$28, V$15)</f>
        <v>17490.73759222127</v>
      </c>
      <c r="W22" s="183">
        <f>INDEX('Volume adjustments'!$J$527:$Y$567,W$17 + 1 + $H22*$H$28, W$15)</f>
        <v>40.110581451170553</v>
      </c>
      <c r="X22" s="183">
        <f>INDEX('Volume adjustments'!$J$527:$Y$567,X$17 + 1 + $H22*$H$28, X$15)</f>
        <v>2560.5755361247989</v>
      </c>
      <c r="Y22" s="183">
        <f>INDEX('Volume adjustments'!$J$527:$Y$567,Y$17 + 1 + $H22*$H$28, Y$15)</f>
        <v>6283.4427828780554</v>
      </c>
      <c r="Z22" s="183">
        <f>INDEX('Volume adjustments'!$J$527:$Y$567,Z$17 + 1 + $H22*$H$28, Z$15)</f>
        <v>6434.0901641822084</v>
      </c>
      <c r="AA22" s="183">
        <f>INDEX('Volume adjustments'!$J$527:$Y$567,AA$17 + 1 + $H22*$H$28, AA$15)</f>
        <v>26564.367305531145</v>
      </c>
      <c r="AB22" s="183">
        <f>INDEX('Volume adjustments'!$J$527:$Y$567,AB$17 + 1 + $H22*$H$28, AB$15)</f>
        <v>389.73469971862858</v>
      </c>
      <c r="AC22" s="183">
        <f>INDEX('Volume adjustments'!$J$527:$Y$567,AC$17 + 1 + $H22*$H$28, AC$15)</f>
        <v>11809.863756749297</v>
      </c>
      <c r="AD22" s="183">
        <f>INDEX('Volume adjustments'!$J$527:$Y$567,AD$17 + 1 + $H22*$H$28, AD$15)</f>
        <v>36334.963462998385</v>
      </c>
      <c r="AE22" s="183">
        <f>INDEX('Volume adjustments'!$J$527:$Y$567,AE$17 + 1 + $H22*$H$28, AE$15)</f>
        <v>24824.457270991577</v>
      </c>
      <c r="AF22" s="183">
        <f>INDEX('Volume adjustments'!$J$527:$Y$567,AF$17 + 1 + $H22*$H$28, AF$15)</f>
        <v>66234.275733567876</v>
      </c>
      <c r="AG22" s="183">
        <f>INDEX('Volume adjustments'!$J$527:$Y$567,AG$17 + 1 + $H22*$H$28, AG$15)</f>
        <v>3026.8327703338973</v>
      </c>
      <c r="AH22" s="183">
        <f>INDEX('Volume adjustments'!$J$527:$Y$567,AH$17 + 1 + $H22*$H$28, AH$15)</f>
        <v>449.17098617729391</v>
      </c>
      <c r="AI22" s="183">
        <f>INDEX('Volume adjustments'!$J$527:$Y$567,AI$17 + 1 + $H22*$H$28, AI$15)</f>
        <v>0</v>
      </c>
      <c r="AJ22" s="183">
        <f>INDEX('Volume adjustments'!$J$527:$Y$567,AJ$17 + 1 + $H22*$H$28, AJ$15)</f>
        <v>3293.4038045794673</v>
      </c>
      <c r="AK22" s="183">
        <f>INDEX('Volume adjustments'!$J$527:$Y$567,AK$17 + 1 + $H22*$H$28, AK$15)</f>
        <v>0</v>
      </c>
      <c r="AL22" s="183">
        <f>INDEX('Volume adjustments'!$J$527:$Y$567,AL$17 + 1 + $H22*$H$28, AL$15)</f>
        <v>811.80541464978148</v>
      </c>
      <c r="AM22" s="183">
        <f>INDEX('Volume adjustments'!$J$527:$Y$567,AM$17 + 1 + $H22*$H$28, AM$15)</f>
        <v>0</v>
      </c>
      <c r="AN22" s="183">
        <f>INDEX('Volume adjustments'!$J$527:$Y$567,AN$17 + 1 + $H22*$H$28, AN$15)</f>
        <v>36268.325369716345</v>
      </c>
      <c r="AO22" s="183">
        <f>INDEX('Volume adjustments'!$J$527:$Y$567,AO$17 + 1 + $H22*$H$28, AO$15)</f>
        <v>0</v>
      </c>
    </row>
    <row r="23" spans="3:43" x14ac:dyDescent="0.25">
      <c r="E23" s="23"/>
      <c r="F23" s="62" t="s">
        <v>249</v>
      </c>
      <c r="G23" s="62" t="s">
        <v>208</v>
      </c>
      <c r="H23" s="355">
        <v>1</v>
      </c>
      <c r="J23" s="323">
        <f>INDEX('Volume adjustments'!$J$527:$Y$567,J$17 + 1 + $H23*$H$28, J$15)</f>
        <v>2200865.0471394388</v>
      </c>
      <c r="K23" s="323">
        <f>INDEX('Volume adjustments'!$J$527:$Y$567,K$17 + 1 + $H23*$H$28, K$15)</f>
        <v>3242.2928055299481</v>
      </c>
      <c r="L23" s="323">
        <f>INDEX('Volume adjustments'!$J$527:$Y$567,L$17 + 1 + $H23*$H$28, L$15)</f>
        <v>15.580031406218163</v>
      </c>
      <c r="M23" s="323">
        <f>INDEX('Volume adjustments'!$J$527:$Y$567,M$17 + 1 + $H23*$H$28, M$15)</f>
        <v>41579.275495068614</v>
      </c>
      <c r="N23" s="323">
        <f>INDEX('Volume adjustments'!$J$527:$Y$567,N$17 + 1 + $H23*$H$28, N$15)</f>
        <v>166317.74112404627</v>
      </c>
      <c r="O23" s="323">
        <f>INDEX('Volume adjustments'!$J$527:$Y$567,O$17 + 1 + $H23*$H$28, O$15)</f>
        <v>163810.92030449613</v>
      </c>
      <c r="P23" s="323">
        <f>INDEX('Volume adjustments'!$J$527:$Y$567,P$17 + 1 + $H23*$H$28, P$15)</f>
        <v>543816.65292230446</v>
      </c>
      <c r="Q23" s="323">
        <f>INDEX('Volume adjustments'!$J$527:$Y$567,Q$17 + 1 + $H23*$H$28, Q$15)</f>
        <v>1539.4768248033429</v>
      </c>
      <c r="R23" s="323">
        <f>INDEX('Volume adjustments'!$J$527:$Y$567,R$17 + 1 + $H23*$H$28, R$15)</f>
        <v>806.29455203102941</v>
      </c>
      <c r="S23" s="323">
        <f>INDEX('Volume adjustments'!$J$527:$Y$567,S$17 + 1 + $H23*$H$28, S$15)</f>
        <v>185416.4013727431</v>
      </c>
      <c r="T23" s="323">
        <f>INDEX('Volume adjustments'!$J$527:$Y$567,T$17 + 1 + $H23*$H$28, T$15)</f>
        <v>212912.74933414286</v>
      </c>
      <c r="U23" s="323">
        <f>INDEX('Volume adjustments'!$J$527:$Y$567,U$17 + 1 + $H23*$H$28, U$15)</f>
        <v>106328.08247051286</v>
      </c>
      <c r="V23" s="323">
        <f>INDEX('Volume adjustments'!$J$527:$Y$567,V$17 + 1 + $H23*$H$28, V$15)</f>
        <v>126188.64775822811</v>
      </c>
      <c r="W23" s="323">
        <f>INDEX('Volume adjustments'!$J$527:$Y$567,W$17 + 1 + $H23*$H$28, W$15)</f>
        <v>294.40620957134337</v>
      </c>
      <c r="X23" s="323">
        <f>INDEX('Volume adjustments'!$J$527:$Y$567,X$17 + 1 + $H23*$H$28, X$15)</f>
        <v>18794.275989973532</v>
      </c>
      <c r="Y23" s="323">
        <f>INDEX('Volume adjustments'!$J$527:$Y$567,Y$17 + 1 + $H23*$H$28, Y$15)</f>
        <v>46119.614970367285</v>
      </c>
      <c r="Z23" s="323">
        <f>INDEX('Volume adjustments'!$J$527:$Y$567,Z$17 + 1 + $H23*$H$28, Z$15)</f>
        <v>47225.346248922717</v>
      </c>
      <c r="AA23" s="323">
        <f>INDEX('Volume adjustments'!$J$527:$Y$567,AA$17 + 1 + $H23*$H$28, AA$15)</f>
        <v>194978.84112208779</v>
      </c>
      <c r="AB23" s="323">
        <f>INDEX('Volume adjustments'!$J$527:$Y$567,AB$17 + 1 + $H23*$H$28, AB$15)</f>
        <v>2707.3592560779016</v>
      </c>
      <c r="AC23" s="323">
        <f>INDEX('Volume adjustments'!$J$527:$Y$567,AC$17 + 1 + $H23*$H$28, AC$15)</f>
        <v>82039.253825583539</v>
      </c>
      <c r="AD23" s="323">
        <f>INDEX('Volume adjustments'!$J$527:$Y$567,AD$17 + 1 + $H23*$H$28, AD$15)</f>
        <v>252407.08543997028</v>
      </c>
      <c r="AE23" s="323">
        <f>INDEX('Volume adjustments'!$J$527:$Y$567,AE$17 + 1 + $H23*$H$28, AE$15)</f>
        <v>172447.370527313</v>
      </c>
      <c r="AF23" s="323">
        <f>INDEX('Volume adjustments'!$J$527:$Y$567,AF$17 + 1 + $H23*$H$28, AF$15)</f>
        <v>460107.81079116662</v>
      </c>
      <c r="AG23" s="323">
        <f>INDEX('Volume adjustments'!$J$527:$Y$567,AG$17 + 1 + $H23*$H$28, AG$15)</f>
        <v>28127.672923672086</v>
      </c>
      <c r="AH23" s="323">
        <f>INDEX('Volume adjustments'!$J$527:$Y$567,AH$17 + 1 + $H23*$H$28, AH$15)</f>
        <v>4233.9521820488117</v>
      </c>
      <c r="AI23" s="323">
        <f>INDEX('Volume adjustments'!$J$527:$Y$567,AI$17 + 1 + $H23*$H$28, AI$15)</f>
        <v>0</v>
      </c>
      <c r="AJ23" s="323">
        <f>INDEX('Volume adjustments'!$J$527:$Y$567,AJ$17 + 1 + $H23*$H$28, AJ$15)</f>
        <v>31747.078256598921</v>
      </c>
      <c r="AK23" s="323">
        <f>INDEX('Volume adjustments'!$J$527:$Y$567,AK$17 + 1 + $H23*$H$28, AK$15)</f>
        <v>0</v>
      </c>
      <c r="AL23" s="323">
        <f>INDEX('Volume adjustments'!$J$527:$Y$567,AL$17 + 1 + $H23*$H$28, AL$15)</f>
        <v>7185.4690196373358</v>
      </c>
      <c r="AM23" s="323">
        <f>INDEX('Volume adjustments'!$J$527:$Y$567,AM$17 + 1 + $H23*$H$28, AM$15)</f>
        <v>0</v>
      </c>
      <c r="AN23" s="323">
        <f>INDEX('Volume adjustments'!$J$527:$Y$567,AN$17 + 1 + $H23*$H$28, AN$15)</f>
        <v>289073.53494591836</v>
      </c>
      <c r="AO23" s="323">
        <f>INDEX('Volume adjustments'!$J$527:$Y$567,AO$17 + 1 + $H23*$H$28, AO$15)</f>
        <v>0</v>
      </c>
    </row>
    <row r="24" spans="3:43" x14ac:dyDescent="0.25">
      <c r="E24" s="23"/>
      <c r="F24" s="62" t="s">
        <v>250</v>
      </c>
      <c r="G24" s="62" t="s">
        <v>208</v>
      </c>
      <c r="H24" s="355">
        <v>2</v>
      </c>
      <c r="J24" s="323">
        <f>INDEX('Volume adjustments'!$J$527:$Y$567,J$17 + 1 + $H24*$H$28, J$15)</f>
        <v>2467621.6811667914</v>
      </c>
      <c r="K24" s="323">
        <f>INDEX('Volume adjustments'!$J$527:$Y$567,K$17 + 1 + $H24*$H$28, K$15)</f>
        <v>25948.408931906615</v>
      </c>
      <c r="L24" s="323">
        <f>INDEX('Volume adjustments'!$J$527:$Y$567,L$17 + 1 + $H24*$H$28, L$15)</f>
        <v>13.281998779444473</v>
      </c>
      <c r="M24" s="323">
        <f>INDEX('Volume adjustments'!$J$527:$Y$567,M$17 + 1 + $H24*$H$28, M$15)</f>
        <v>35446.391087201235</v>
      </c>
      <c r="N24" s="323">
        <f>INDEX('Volume adjustments'!$J$527:$Y$567,N$17 + 1 + $H24*$H$28, N$15)</f>
        <v>141786.10921977315</v>
      </c>
      <c r="O24" s="323">
        <f>INDEX('Volume adjustments'!$J$527:$Y$567,O$17 + 1 + $H24*$H$28, O$15)</f>
        <v>139649.04093040747</v>
      </c>
      <c r="P24" s="323">
        <f>INDEX('Volume adjustments'!$J$527:$Y$567,P$17 + 1 + $H24*$H$28, P$15)</f>
        <v>463604.46471711597</v>
      </c>
      <c r="Q24" s="323">
        <f>INDEX('Volume adjustments'!$J$527:$Y$567,Q$17 + 1 + $H24*$H$28, Q$15)</f>
        <v>10781.362867132962</v>
      </c>
      <c r="R24" s="323">
        <f>INDEX('Volume adjustments'!$J$527:$Y$567,R$17 + 1 + $H24*$H$28, R$15)</f>
        <v>717.48676559114074</v>
      </c>
      <c r="S24" s="323">
        <f>INDEX('Volume adjustments'!$J$527:$Y$567,S$17 + 1 + $H24*$H$28, S$15)</f>
        <v>164994.06299269965</v>
      </c>
      <c r="T24" s="323">
        <f>INDEX('Volume adjustments'!$J$527:$Y$567,T$17 + 1 + $H24*$H$28, T$15)</f>
        <v>189461.87778159833</v>
      </c>
      <c r="U24" s="323">
        <f>INDEX('Volume adjustments'!$J$527:$Y$567,U$17 + 1 + $H24*$H$28, U$15)</f>
        <v>94616.777195265546</v>
      </c>
      <c r="V24" s="323">
        <f>INDEX('Volume adjustments'!$J$527:$Y$567,V$17 + 1 + $H24*$H$28, V$15)</f>
        <v>112289.83813211547</v>
      </c>
      <c r="W24" s="323">
        <f>INDEX('Volume adjustments'!$J$527:$Y$567,W$17 + 1 + $H24*$H$28, W$15)</f>
        <v>290.56134775367269</v>
      </c>
      <c r="X24" s="323">
        <f>INDEX('Volume adjustments'!$J$527:$Y$567,X$17 + 1 + $H24*$H$28, X$15)</f>
        <v>18548.828061922603</v>
      </c>
      <c r="Y24" s="323">
        <f>INDEX('Volume adjustments'!$J$527:$Y$567,Y$17 + 1 + $H24*$H$28, Y$15)</f>
        <v>45517.305844811061</v>
      </c>
      <c r="Z24" s="323">
        <f>INDEX('Volume adjustments'!$J$527:$Y$567,Z$17 + 1 + $H24*$H$28, Z$15)</f>
        <v>46608.596585649189</v>
      </c>
      <c r="AA24" s="323">
        <f>INDEX('Volume adjustments'!$J$527:$Y$567,AA$17 + 1 + $H24*$H$28, AA$15)</f>
        <v>192432.47261112632</v>
      </c>
      <c r="AB24" s="323">
        <f>INDEX('Volume adjustments'!$J$527:$Y$567,AB$17 + 1 + $H24*$H$28, AB$15)</f>
        <v>3080.9106951208073</v>
      </c>
      <c r="AC24" s="323">
        <f>INDEX('Volume adjustments'!$J$527:$Y$567,AC$17 + 1 + $H24*$H$28, AC$15)</f>
        <v>93358.727314650154</v>
      </c>
      <c r="AD24" s="323">
        <f>INDEX('Volume adjustments'!$J$527:$Y$567,AD$17 + 1 + $H24*$H$28, AD$15)</f>
        <v>287233.28361779102</v>
      </c>
      <c r="AE24" s="323">
        <f>INDEX('Volume adjustments'!$J$527:$Y$567,AE$17 + 1 + $H24*$H$28, AE$15)</f>
        <v>196241.02232104057</v>
      </c>
      <c r="AF24" s="323">
        <f>INDEX('Volume adjustments'!$J$527:$Y$567,AF$17 + 1 + $H24*$H$28, AF$15)</f>
        <v>523591.78856399894</v>
      </c>
      <c r="AG24" s="323">
        <f>INDEX('Volume adjustments'!$J$527:$Y$567,AG$17 + 1 + $H24*$H$28, AG$15)</f>
        <v>69645.577244407395</v>
      </c>
      <c r="AH24" s="323">
        <f>INDEX('Volume adjustments'!$J$527:$Y$567,AH$17 + 1 + $H24*$H$28, AH$15)</f>
        <v>2141.8426596998402</v>
      </c>
      <c r="AI24" s="323">
        <f>INDEX('Volume adjustments'!$J$527:$Y$567,AI$17 + 1 + $H24*$H$28, AI$15)</f>
        <v>0</v>
      </c>
      <c r="AJ24" s="323">
        <f>INDEX('Volume adjustments'!$J$527:$Y$567,AJ$17 + 1 + $H24*$H$28, AJ$15)</f>
        <v>27458.669337650925</v>
      </c>
      <c r="AK24" s="323">
        <f>INDEX('Volume adjustments'!$J$527:$Y$567,AK$17 + 1 + $H24*$H$28, AK$15)</f>
        <v>0</v>
      </c>
      <c r="AL24" s="323">
        <f>INDEX('Volume adjustments'!$J$527:$Y$567,AL$17 + 1 + $H24*$H$28, AL$15)</f>
        <v>6962.9505694314412</v>
      </c>
      <c r="AM24" s="323">
        <f>INDEX('Volume adjustments'!$J$527:$Y$567,AM$17 + 1 + $H24*$H$28, AM$15)</f>
        <v>0</v>
      </c>
      <c r="AN24" s="323">
        <f>INDEX('Volume adjustments'!$J$527:$Y$567,AN$17 + 1 + $H24*$H$28, AN$15)</f>
        <v>234787.57468174878</v>
      </c>
      <c r="AO24" s="323">
        <f>INDEX('Volume adjustments'!$J$527:$Y$567,AO$17 + 1 + $H24*$H$28, AO$15)</f>
        <v>0</v>
      </c>
    </row>
    <row r="25" spans="3:43" x14ac:dyDescent="0.25">
      <c r="E25" s="23"/>
      <c r="F25" s="62" t="s">
        <v>213</v>
      </c>
      <c r="G25" s="62" t="s">
        <v>213</v>
      </c>
      <c r="H25" s="355">
        <v>3</v>
      </c>
      <c r="J25" s="323">
        <f>INDEX('Volume adjustments'!$J$527:$Y$567,J$17 + 1 + $H25*$H$28, J$15)</f>
        <v>1506295.0683282644</v>
      </c>
      <c r="K25" s="323">
        <f>INDEX('Volume adjustments'!$J$527:$Y$567,K$17 + 1 + $H25*$H$28, K$15)</f>
        <v>0</v>
      </c>
      <c r="L25" s="323">
        <f>INDEX('Volume adjustments'!$J$527:$Y$567,L$17 + 1 + $H25*$H$28, L$15)</f>
        <v>56.772481327714715</v>
      </c>
      <c r="M25" s="323">
        <f>INDEX('Volume adjustments'!$J$527:$Y$567,M$17 + 1 + $H25*$H$28, M$15)</f>
        <v>65239.127097806886</v>
      </c>
      <c r="N25" s="323">
        <f>INDEX('Volume adjustments'!$J$527:$Y$567,N$17 + 1 + $H25*$H$28, N$15)</f>
        <v>44221.199773590401</v>
      </c>
      <c r="O25" s="323">
        <f>INDEX('Volume adjustments'!$J$527:$Y$567,O$17 + 1 + $H25*$H$28, O$15)</f>
        <v>18156.095292054128</v>
      </c>
      <c r="P25" s="323">
        <f>INDEX('Volume adjustments'!$J$527:$Y$567,P$17 + 1 + $H25*$H$28, P$15)</f>
        <v>18481.094301177247</v>
      </c>
      <c r="Q25" s="323">
        <f>INDEX('Volume adjustments'!$J$527:$Y$567,Q$17 + 1 + $H25*$H$28, Q$15)</f>
        <v>0</v>
      </c>
      <c r="R25" s="323">
        <f>INDEX('Volume adjustments'!$J$527:$Y$567,R$17 + 1 + $H25*$H$28, R$15)</f>
        <v>57.987950621209734</v>
      </c>
      <c r="S25" s="323">
        <f>INDEX('Volume adjustments'!$J$527:$Y$567,S$17 + 1 + $H25*$H$28, S$15)</f>
        <v>3933.7172682430546</v>
      </c>
      <c r="T25" s="323">
        <f>INDEX('Volume adjustments'!$J$527:$Y$567,T$17 + 1 + $H25*$H$28, T$15)</f>
        <v>2525.4244343778955</v>
      </c>
      <c r="U25" s="323">
        <f>INDEX('Volume adjustments'!$J$527:$Y$567,U$17 + 1 + $H25*$H$28, U$15)</f>
        <v>840.58380918168632</v>
      </c>
      <c r="V25" s="323">
        <f>INDEX('Volume adjustments'!$J$527:$Y$567,V$17 + 1 + $H25*$H$28, V$15)</f>
        <v>549.89936131082754</v>
      </c>
      <c r="W25" s="323">
        <f>INDEX('Volume adjustments'!$J$527:$Y$567,W$17 + 1 + $H25*$H$28, W$15)</f>
        <v>7.9998126031526322</v>
      </c>
      <c r="X25" s="323">
        <f>INDEX('Volume adjustments'!$J$527:$Y$567,X$17 + 1 + $H25*$H$28, X$15)</f>
        <v>342.61765670732251</v>
      </c>
      <c r="Y25" s="323">
        <f>INDEX('Volume adjustments'!$J$527:$Y$567,Y$17 + 1 + $H25*$H$28, Y$15)</f>
        <v>465.00912378580318</v>
      </c>
      <c r="Z25" s="323">
        <f>INDEX('Volume adjustments'!$J$527:$Y$567,Z$17 + 1 + $H25*$H$28, Z$15)</f>
        <v>312.68005783788288</v>
      </c>
      <c r="AA25" s="323">
        <f>INDEX('Volume adjustments'!$J$527:$Y$567,AA$17 + 1 + $H25*$H$28, AA$15)</f>
        <v>598.77879969563264</v>
      </c>
      <c r="AB25" s="323">
        <f>INDEX('Volume adjustments'!$J$527:$Y$567,AB$17 + 1 + $H25*$H$28, AB$15)</f>
        <v>142.99658547212053</v>
      </c>
      <c r="AC25" s="323">
        <f>INDEX('Volume adjustments'!$J$527:$Y$567,AC$17 + 1 + $H25*$H$28, AC$15)</f>
        <v>322.19503480811886</v>
      </c>
      <c r="AD25" s="323">
        <f>INDEX('Volume adjustments'!$J$527:$Y$567,AD$17 + 1 + $H25*$H$28, AD$15)</f>
        <v>400.49540191570389</v>
      </c>
      <c r="AE25" s="323">
        <f>INDEX('Volume adjustments'!$J$527:$Y$567,AE$17 + 1 + $H25*$H$28, AE$15)</f>
        <v>123.41651624927486</v>
      </c>
      <c r="AF25" s="323">
        <f>INDEX('Volume adjustments'!$J$527:$Y$567,AF$17 + 1 + $H25*$H$28, AF$15)</f>
        <v>130.23831149230517</v>
      </c>
      <c r="AG25" s="323">
        <f>INDEX('Volume adjustments'!$J$527:$Y$567,AG$17 + 1 + $H25*$H$28, AG$15)</f>
        <v>2539</v>
      </c>
      <c r="AH25" s="323">
        <f>INDEX('Volume adjustments'!$J$527:$Y$567,AH$17 + 1 + $H25*$H$28, AH$15)</f>
        <v>0</v>
      </c>
      <c r="AI25" s="323">
        <f>INDEX('Volume adjustments'!$J$527:$Y$567,AI$17 + 1 + $H25*$H$28, AI$15)</f>
        <v>0</v>
      </c>
      <c r="AJ25" s="323">
        <f>INDEX('Volume adjustments'!$J$527:$Y$567,AJ$17 + 1 + $H25*$H$28, AJ$15)</f>
        <v>0</v>
      </c>
      <c r="AK25" s="323">
        <f>INDEX('Volume adjustments'!$J$527:$Y$567,AK$17 + 1 + $H25*$H$28, AK$15)</f>
        <v>0</v>
      </c>
      <c r="AL25" s="323">
        <f>INDEX('Volume adjustments'!$J$527:$Y$567,AL$17 + 1 + $H25*$H$28, AL$15)</f>
        <v>0</v>
      </c>
      <c r="AM25" s="323">
        <f>INDEX('Volume adjustments'!$J$527:$Y$567,AM$17 + 1 + $H25*$H$28, AM$15)</f>
        <v>0</v>
      </c>
      <c r="AN25" s="323">
        <f>INDEX('Volume adjustments'!$J$527:$Y$567,AN$17 + 1 + $H25*$H$28, AN$15)</f>
        <v>272.95468099853321</v>
      </c>
      <c r="AO25" s="323">
        <f>INDEX('Volume adjustments'!$J$527:$Y$567,AO$17 + 1 + $H25*$H$28, AO$15)</f>
        <v>0</v>
      </c>
    </row>
    <row r="26" spans="3:43" x14ac:dyDescent="0.25">
      <c r="E26" s="23"/>
      <c r="F26" s="62" t="s">
        <v>251</v>
      </c>
      <c r="G26" s="62" t="s">
        <v>252</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1922.0391617832861</v>
      </c>
      <c r="S26" s="323">
        <f>INDEX('Volume adjustments'!$J$527:$Y$567,S$17 + 1 + $H26*$H$28, S$15)</f>
        <v>182131.42775299386</v>
      </c>
      <c r="T26" s="323">
        <f>INDEX('Volume adjustments'!$J$527:$Y$567,T$17 + 1 + $H26*$H$28, T$15)</f>
        <v>287551.52456937812</v>
      </c>
      <c r="U26" s="323">
        <f>INDEX('Volume adjustments'!$J$527:$Y$567,U$17 + 1 + $H26*$H$28, U$15)</f>
        <v>154875.90864175055</v>
      </c>
      <c r="V26" s="323">
        <f>INDEX('Volume adjustments'!$J$527:$Y$567,V$17 + 1 + $H26*$H$28, V$15)</f>
        <v>187896.96080934943</v>
      </c>
      <c r="W26" s="323">
        <f>INDEX('Volume adjustments'!$J$527:$Y$567,W$17 + 1 + $H26*$H$28, W$15)</f>
        <v>700.00898471496794</v>
      </c>
      <c r="X26" s="323">
        <f>INDEX('Volume adjustments'!$J$527:$Y$567,X$17 + 1 + $H26*$H$28, X$15)</f>
        <v>19486.485887020266</v>
      </c>
      <c r="Y26" s="323">
        <f>INDEX('Volume adjustments'!$J$527:$Y$567,Y$17 + 1 + $H26*$H$28, Y$15)</f>
        <v>55607.012973977391</v>
      </c>
      <c r="Z26" s="323">
        <f>INDEX('Volume adjustments'!$J$527:$Y$567,Z$17 + 1 + $H26*$H$28, Z$15)</f>
        <v>59205.491105254587</v>
      </c>
      <c r="AA26" s="323">
        <f>INDEX('Volume adjustments'!$J$527:$Y$567,AA$17 + 1 + $H26*$H$28, AA$15)</f>
        <v>237370.98500140154</v>
      </c>
      <c r="AB26" s="323">
        <f>INDEX('Volume adjustments'!$J$527:$Y$567,AB$17 + 1 + $H26*$H$28, AB$15)</f>
        <v>20430.52101430605</v>
      </c>
      <c r="AC26" s="323">
        <f>INDEX('Volume adjustments'!$J$527:$Y$567,AC$17 + 1 + $H26*$H$28, AC$15)</f>
        <v>80307.237229413557</v>
      </c>
      <c r="AD26" s="323">
        <f>INDEX('Volume adjustments'!$J$527:$Y$567,AD$17 + 1 + $H26*$H$28, AD$15)</f>
        <v>270976.82439930853</v>
      </c>
      <c r="AE26" s="323">
        <f>INDEX('Volume adjustments'!$J$527:$Y$567,AE$17 + 1 + $H26*$H$28, AE$15)</f>
        <v>166069.31783211298</v>
      </c>
      <c r="AF26" s="323">
        <f>INDEX('Volume adjustments'!$J$527:$Y$567,AF$17 + 1 + $H26*$H$28, AF$15)</f>
        <v>420017.37254602788</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25">
      <c r="E27" s="23"/>
      <c r="F27" s="62" t="s">
        <v>253</v>
      </c>
      <c r="G27" s="62" t="s">
        <v>252</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318.43570274788664</v>
      </c>
      <c r="S27" s="323">
        <f>INDEX('Volume adjustments'!$J$527:$Y$567,S$17 + 1 + $H27*$H$28, S$15)</f>
        <v>17235.617736682118</v>
      </c>
      <c r="T27" s="323">
        <f>INDEX('Volume adjustments'!$J$527:$Y$567,T$17 + 1 + $H27*$H$28, T$15)</f>
        <v>2272.451988773812</v>
      </c>
      <c r="U27" s="323">
        <f>INDEX('Volume adjustments'!$J$527:$Y$567,U$17 + 1 + $H27*$H$28, U$15)</f>
        <v>544.94152641872449</v>
      </c>
      <c r="V27" s="323">
        <f>INDEX('Volume adjustments'!$J$527:$Y$567,V$17 + 1 + $H27*$H$28, V$15)</f>
        <v>108.88468648350157</v>
      </c>
      <c r="W27" s="323">
        <f>INDEX('Volume adjustments'!$J$527:$Y$567,W$17 + 1 + $H27*$H$28, W$15)</f>
        <v>29.468858762938101</v>
      </c>
      <c r="X27" s="323">
        <f>INDEX('Volume adjustments'!$J$527:$Y$567,X$17 + 1 + $H27*$H$28, X$15)</f>
        <v>1667.9217436686849</v>
      </c>
      <c r="Y27" s="323">
        <f>INDEX('Volume adjustments'!$J$527:$Y$567,Y$17 + 1 + $H27*$H$28, Y$15)</f>
        <v>653.79682996340705</v>
      </c>
      <c r="Z27" s="323">
        <f>INDEX('Volume adjustments'!$J$527:$Y$567,Z$17 + 1 + $H27*$H$28, Z$15)</f>
        <v>357.66623596231426</v>
      </c>
      <c r="AA27" s="323">
        <f>INDEX('Volume adjustments'!$J$527:$Y$567,AA$17 + 1 + $H27*$H$28, AA$15)</f>
        <v>2401.1874249123075</v>
      </c>
      <c r="AB27" s="323">
        <f>INDEX('Volume adjustments'!$J$527:$Y$567,AB$17 + 1 + $H27*$H$28, AB$15)</f>
        <v>851.6203571790702</v>
      </c>
      <c r="AC27" s="323">
        <f>INDEX('Volume adjustments'!$J$527:$Y$567,AC$17 + 1 + $H27*$H$28, AC$15)</f>
        <v>2169.057862955141</v>
      </c>
      <c r="AD27" s="323">
        <f>INDEX('Volume adjustments'!$J$527:$Y$567,AD$17 + 1 + $H27*$H$28, AD$15)</f>
        <v>1457.0461477210777</v>
      </c>
      <c r="AE27" s="323">
        <f>INDEX('Volume adjustments'!$J$527:$Y$567,AE$17 + 1 + $H27*$H$28, AE$15)</f>
        <v>621.98643401730124</v>
      </c>
      <c r="AF27" s="323">
        <f>INDEX('Volume adjustments'!$J$527:$Y$567,AF$17 + 1 + $H27*$H$28, AF$15)</f>
        <v>116.79122459681906</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25">
      <c r="E28" s="23"/>
      <c r="F28" s="70" t="s">
        <v>254</v>
      </c>
      <c r="G28" s="70" t="s">
        <v>255</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478.10127999322674</v>
      </c>
      <c r="S28" s="185">
        <f>INDEX('Volume adjustments'!$J$527:$Y$567,S$17 + 1 + $H28*$H$28, S$15)</f>
        <v>29904.392179604714</v>
      </c>
      <c r="T28" s="185">
        <f>INDEX('Volume adjustments'!$J$527:$Y$567,T$17 + 1 + $H28*$H$28, T$15)</f>
        <v>31962.104427876602</v>
      </c>
      <c r="U28" s="185">
        <f>INDEX('Volume adjustments'!$J$527:$Y$567,U$17 + 1 + $H28*$H$28, U$15)</f>
        <v>17618.557352734304</v>
      </c>
      <c r="V28" s="185">
        <f>INDEX('Volume adjustments'!$J$527:$Y$567,V$17 + 1 + $H28*$H$28, V$15)</f>
        <v>22436.69675979115</v>
      </c>
      <c r="W28" s="185">
        <f>INDEX('Volume adjustments'!$J$527:$Y$567,W$17 + 1 + $H28*$H$28, W$15)</f>
        <v>244.17019087212714</v>
      </c>
      <c r="X28" s="185">
        <f>INDEX('Volume adjustments'!$J$527:$Y$567,X$17 + 1 + $H28*$H$28, X$15)</f>
        <v>5393.2136528093579</v>
      </c>
      <c r="Y28" s="185">
        <f>INDEX('Volume adjustments'!$J$527:$Y$567,Y$17 + 1 + $H28*$H$28, Y$15)</f>
        <v>9682.8550521467787</v>
      </c>
      <c r="Z28" s="185">
        <f>INDEX('Volume adjustments'!$J$527:$Y$567,Z$17 + 1 + $H28*$H$28, Z$15)</f>
        <v>9622.9500400877296</v>
      </c>
      <c r="AA28" s="185">
        <f>INDEX('Volume adjustments'!$J$527:$Y$567,AA$17 + 1 + $H28*$H$28, AA$15)</f>
        <v>39057.406064084003</v>
      </c>
      <c r="AB28" s="185">
        <f>INDEX('Volume adjustments'!$J$527:$Y$567,AB$17 + 1 + $H28*$H$28, AB$15)</f>
        <v>4111.7595823091997</v>
      </c>
      <c r="AC28" s="185">
        <f>INDEX('Volume adjustments'!$J$527:$Y$567,AC$17 + 1 + $H28*$H$28, AC$15)</f>
        <v>17045.838493955318</v>
      </c>
      <c r="AD28" s="185">
        <f>INDEX('Volume adjustments'!$J$527:$Y$567,AD$17 + 1 + $H28*$H$28, AD$15)</f>
        <v>36318.533850791755</v>
      </c>
      <c r="AE28" s="185">
        <f>INDEX('Volume adjustments'!$J$527:$Y$567,AE$17 + 1 + $H28*$H$28, AE$15)</f>
        <v>32007.878898451414</v>
      </c>
      <c r="AF28" s="185">
        <f>INDEX('Volume adjustments'!$J$527:$Y$567,AF$17 + 1 + $H28*$H$28, AF$15)</f>
        <v>66139.286174492314</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5013.3740000000007</v>
      </c>
      <c r="AK28" s="185">
        <f>INDEX('Volume adjustments'!$J$527:$Y$567,AK$17 + 1 + $H28*$H$28, AK$15)</f>
        <v>0</v>
      </c>
      <c r="AL28" s="185">
        <f>INDEX('Volume adjustments'!$J$527:$Y$567,AL$17 + 1 + $H28*$H$28, AL$15)</f>
        <v>1539.6130000000001</v>
      </c>
      <c r="AM28" s="185">
        <f>INDEX('Volume adjustments'!$J$527:$Y$567,AM$17 + 1 + $H28*$H$28, AM$15)</f>
        <v>0</v>
      </c>
      <c r="AN28" s="185">
        <f>INDEX('Volume adjustments'!$J$527:$Y$567,AN$17 + 1 + $H28*$H$28, AN$15)</f>
        <v>7641.41</v>
      </c>
      <c r="AO28" s="185">
        <f>INDEX('Volume adjustments'!$J$527:$Y$567,AO$17 + 1 + $H28*$H$28, AO$15)</f>
        <v>0</v>
      </c>
    </row>
    <row r="29" spans="3:43" s="249" customFormat="1" x14ac:dyDescent="0.25">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25">
      <c r="E30" s="27" t="s">
        <v>256</v>
      </c>
      <c r="F30" s="336"/>
      <c r="G30" s="336"/>
      <c r="I30" t="s">
        <v>155</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247</v>
      </c>
    </row>
    <row r="31" spans="3:43" x14ac:dyDescent="0.25">
      <c r="E31" s="27"/>
      <c r="F31" s="24" t="s">
        <v>1034</v>
      </c>
    </row>
    <row r="32" spans="3:43" x14ac:dyDescent="0.25">
      <c r="E32" s="27"/>
      <c r="F32" s="377" t="s">
        <v>1030</v>
      </c>
      <c r="G32" s="28"/>
    </row>
    <row r="33" spans="5:43" x14ac:dyDescent="0.25">
      <c r="F33" s="62" t="s">
        <v>248</v>
      </c>
      <c r="G33" s="62" t="s">
        <v>208</v>
      </c>
      <c r="H33" s="310">
        <v>0</v>
      </c>
      <c r="I33" s="19"/>
      <c r="J33" s="183">
        <f>INDEX('Volume adjustments'!$J$571:$Y$611,J$17 + 1 + $H33*$H$39, J$15)</f>
        <v>3994.1255820240008</v>
      </c>
      <c r="K33" s="183">
        <f>INDEX('Volume adjustments'!$J$571:$Y$611,K$17 + 1 + $H33*$H$39, K$15)</f>
        <v>0</v>
      </c>
      <c r="L33" s="183">
        <f>INDEX('Volume adjustments'!$J$571:$Y$611,L$17 + 1 + $H33*$H$39, L$15)</f>
        <v>2.9380428979096404E-3</v>
      </c>
      <c r="M33" s="183">
        <f>INDEX('Volume adjustments'!$J$571:$Y$611,M$17 + 1 + $H33*$H$39, M$15)</f>
        <v>7.8409145580899535</v>
      </c>
      <c r="N33" s="183">
        <f>INDEX('Volume adjustments'!$J$571:$Y$611,N$17 + 1 + $H33*$H$39, N$15)</f>
        <v>31.363778760474982</v>
      </c>
      <c r="O33" s="183">
        <f>INDEX('Volume adjustments'!$J$571:$Y$611,O$17 + 1 + $H33*$H$39, O$15)</f>
        <v>30.891048833738648</v>
      </c>
      <c r="P33" s="183">
        <f>INDEX('Volume adjustments'!$J$571:$Y$611,P$17 + 1 + $H33*$H$39, P$15)</f>
        <v>102.55156830079855</v>
      </c>
      <c r="Q33" s="183">
        <f>INDEX('Volume adjustments'!$J$571:$Y$611,Q$17 + 1 + $H33*$H$39, Q$15)</f>
        <v>0</v>
      </c>
      <c r="R33" s="183">
        <f>INDEX('Volume adjustments'!$J$571:$Y$611,R$17 + 1 + $H33*$H$39, R$15)</f>
        <v>0.37140663101225813</v>
      </c>
      <c r="S33" s="183">
        <f>INDEX('Volume adjustments'!$J$571:$Y$611,S$17 + 1 + $H33*$H$39, S$15)</f>
        <v>85.40908628837785</v>
      </c>
      <c r="T33" s="183">
        <f>INDEX('Volume adjustments'!$J$571:$Y$611,T$17 + 1 + $H33*$H$39, T$15)</f>
        <v>98.074837205036971</v>
      </c>
      <c r="U33" s="183">
        <f>INDEX('Volume adjustments'!$J$571:$Y$611,U$17 + 1 + $H33*$H$39, U$15)</f>
        <v>48.978322863388222</v>
      </c>
      <c r="V33" s="183">
        <f>INDEX('Volume adjustments'!$J$571:$Y$611,V$17 + 1 + $H33*$H$39, V$15)</f>
        <v>58.126773172184862</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v>
      </c>
      <c r="AH33" s="183">
        <f>INDEX('Volume adjustments'!$J$571:$Y$611,AH$17 + 1 + $H33*$H$39, AH$15)</f>
        <v>2.4079999999999995</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25">
      <c r="E34" s="23"/>
      <c r="F34" s="62" t="s">
        <v>249</v>
      </c>
      <c r="G34" s="62" t="s">
        <v>208</v>
      </c>
      <c r="H34" s="355">
        <v>1</v>
      </c>
      <c r="J34" s="323">
        <f>INDEX('Volume adjustments'!$J$571:$Y$611,J$17 + 1 + $H34*$H$39, J$15)</f>
        <v>20173.386095784008</v>
      </c>
      <c r="K34" s="323">
        <f>INDEX('Volume adjustments'!$J$571:$Y$611,K$17 + 1 + $H34*$H$39, K$15)</f>
        <v>0</v>
      </c>
      <c r="L34" s="323">
        <f>INDEX('Volume adjustments'!$J$571:$Y$611,L$17 + 1 + $H34*$H$39, L$15)</f>
        <v>2.6322150556960952E-2</v>
      </c>
      <c r="M34" s="323">
        <f>INDEX('Volume adjustments'!$J$571:$Y$611,M$17 + 1 + $H34*$H$39, M$15)</f>
        <v>70.247351952945593</v>
      </c>
      <c r="N34" s="323">
        <f>INDEX('Volume adjustments'!$J$571:$Y$611,N$17 + 1 + $H34*$H$39, N$15)</f>
        <v>280.99048763236493</v>
      </c>
      <c r="O34" s="323">
        <f>INDEX('Volume adjustments'!$J$571:$Y$611,O$17 + 1 + $H34*$H$39, O$15)</f>
        <v>276.75526413947853</v>
      </c>
      <c r="P34" s="323">
        <f>INDEX('Volume adjustments'!$J$571:$Y$611,P$17 + 1 + $H34*$H$39, P$15)</f>
        <v>918.76732725265447</v>
      </c>
      <c r="Q34" s="323">
        <f>INDEX('Volume adjustments'!$J$571:$Y$611,Q$17 + 1 + $H34*$H$39, Q$15)</f>
        <v>0</v>
      </c>
      <c r="R34" s="323">
        <f>INDEX('Volume adjustments'!$J$571:$Y$611,R$17 + 1 + $H34*$H$39, R$15)</f>
        <v>2.6522658325265001</v>
      </c>
      <c r="S34" s="323">
        <f>INDEX('Volume adjustments'!$J$571:$Y$611,S$17 + 1 + $H34*$H$39, S$15)</f>
        <v>609.91803170712819</v>
      </c>
      <c r="T34" s="323">
        <f>INDEX('Volume adjustments'!$J$571:$Y$611,T$17 + 1 + $H34*$H$39, T$15)</f>
        <v>700.36590095488395</v>
      </c>
      <c r="U34" s="323">
        <f>INDEX('Volume adjustments'!$J$571:$Y$611,U$17 + 1 + $H34*$H$39, U$15)</f>
        <v>349.76093967673029</v>
      </c>
      <c r="V34" s="323">
        <f>INDEX('Volume adjustments'!$J$571:$Y$611,V$17 + 1 + $H34*$H$39, V$15)</f>
        <v>415.09128154073164</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0</v>
      </c>
      <c r="AH34" s="323">
        <f>INDEX('Volume adjustments'!$J$571:$Y$611,AH$17 + 1 + $H34*$H$39, AH$15)</f>
        <v>163.50900000000001</v>
      </c>
      <c r="AI34" s="323">
        <f>INDEX('Volume adjustments'!$J$571:$Y$611,AI$17 + 1 + $H34*$H$39, AI$15)</f>
        <v>0</v>
      </c>
      <c r="AJ34" s="323">
        <f>INDEX('Volume adjustments'!$J$571:$Y$611,AJ$17 + 1 + $H34*$H$39, AJ$15)</f>
        <v>0</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25">
      <c r="E35" s="23"/>
      <c r="F35" s="62" t="s">
        <v>250</v>
      </c>
      <c r="G35" s="62" t="s">
        <v>208</v>
      </c>
      <c r="H35" s="355">
        <v>2</v>
      </c>
      <c r="J35" s="323">
        <f>INDEX('Volume adjustments'!$J$571:$Y$611,J$17 + 1 + $H35*$H$39, J$15)</f>
        <v>20376.23761872001</v>
      </c>
      <c r="K35" s="323">
        <f>INDEX('Volume adjustments'!$J$571:$Y$611,K$17 + 1 + $H35*$H$39, K$15)</f>
        <v>0</v>
      </c>
      <c r="L35" s="323">
        <f>INDEX('Volume adjustments'!$J$571:$Y$611,L$17 + 1 + $H35*$H$39, L$15)</f>
        <v>1.9647629278502266E-2</v>
      </c>
      <c r="M35" s="323">
        <f>INDEX('Volume adjustments'!$J$571:$Y$611,M$17 + 1 + $H35*$H$39, M$15)</f>
        <v>52.434694725311935</v>
      </c>
      <c r="N35" s="323">
        <f>INDEX('Volume adjustments'!$J$571:$Y$611,N$17 + 1 + $H35*$H$39, N$15)</f>
        <v>209.73958491116883</v>
      </c>
      <c r="O35" s="323">
        <f>INDEX('Volume adjustments'!$J$571:$Y$611,O$17 + 1 + $H35*$H$39, O$15)</f>
        <v>206.57828922145066</v>
      </c>
      <c r="P35" s="323">
        <f>INDEX('Volume adjustments'!$J$571:$Y$611,P$17 + 1 + $H35*$H$39, P$15)</f>
        <v>685.79502271279046</v>
      </c>
      <c r="Q35" s="323">
        <f>INDEX('Volume adjustments'!$J$571:$Y$611,Q$17 + 1 + $H35*$H$39, Q$15)</f>
        <v>0</v>
      </c>
      <c r="R35" s="323">
        <f>INDEX('Volume adjustments'!$J$571:$Y$611,R$17 + 1 + $H35*$H$39, R$15)</f>
        <v>2.5961283793213075</v>
      </c>
      <c r="S35" s="323">
        <f>INDEX('Volume adjustments'!$J$571:$Y$611,S$17 + 1 + $H35*$H$39, S$15)</f>
        <v>597.00859987564922</v>
      </c>
      <c r="T35" s="323">
        <f>INDEX('Volume adjustments'!$J$571:$Y$611,T$17 + 1 + $H35*$H$39, T$15)</f>
        <v>685.54206334811022</v>
      </c>
      <c r="U35" s="323">
        <f>INDEX('Volume adjustments'!$J$571:$Y$611,U$17 + 1 + $H35*$H$39, U$15)</f>
        <v>342.3579530894458</v>
      </c>
      <c r="V35" s="323">
        <f>INDEX('Volume adjustments'!$J$571:$Y$611,V$17 + 1 + $H35*$H$39, V$15)</f>
        <v>406.3055229234746</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0</v>
      </c>
      <c r="AH35" s="323">
        <f>INDEX('Volume adjustments'!$J$571:$Y$611,AH$17 + 1 + $H35*$H$39, AH$15)</f>
        <v>56.274000000000008</v>
      </c>
      <c r="AI35" s="323">
        <f>INDEX('Volume adjustments'!$J$571:$Y$611,AI$17 + 1 + $H35*$H$39, AI$15)</f>
        <v>0</v>
      </c>
      <c r="AJ35" s="323">
        <f>INDEX('Volume adjustments'!$J$571:$Y$611,AJ$17 + 1 + $H35*$H$39, AJ$15)</f>
        <v>0</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25">
      <c r="E36" s="23"/>
      <c r="F36" s="62" t="s">
        <v>213</v>
      </c>
      <c r="G36" s="62" t="s">
        <v>213</v>
      </c>
      <c r="H36" s="355">
        <v>3</v>
      </c>
      <c r="J36" s="323">
        <f>INDEX('Volume adjustments'!$J$571:$Y$611,J$17 + 1 + $H36*$H$39, J$15)</f>
        <v>14872.013535035618</v>
      </c>
      <c r="K36" s="323">
        <f>INDEX('Volume adjustments'!$J$571:$Y$611,K$17 + 1 + $H36*$H$39, K$15)</f>
        <v>0</v>
      </c>
      <c r="L36" s="323">
        <f>INDEX('Volume adjustments'!$J$571:$Y$611,L$17 + 1 + $H36*$H$39, L$15)</f>
        <v>0.12623481871738476</v>
      </c>
      <c r="M36" s="323">
        <f>INDEX('Volume adjustments'!$J$571:$Y$611,M$17 + 1 + $H36*$H$39, M$15)</f>
        <v>145.06058551384407</v>
      </c>
      <c r="N36" s="323">
        <f>INDEX('Volume adjustments'!$J$571:$Y$611,N$17 + 1 + $H36*$H$39, N$15)</f>
        <v>98.326777451584476</v>
      </c>
      <c r="O36" s="323">
        <f>INDEX('Volume adjustments'!$J$571:$Y$611,O$17 + 1 + $H36*$H$39, O$15)</f>
        <v>40.370463721288147</v>
      </c>
      <c r="P36" s="323">
        <f>INDEX('Volume adjustments'!$J$571:$Y$611,P$17 + 1 + $H36*$H$39, P$15)</f>
        <v>41.093105924702968</v>
      </c>
      <c r="Q36" s="323">
        <f>INDEX('Volume adjustments'!$J$571:$Y$611,Q$17 + 1 + $H36*$H$39, Q$15)</f>
        <v>0</v>
      </c>
      <c r="R36" s="323">
        <f>INDEX('Volume adjustments'!$J$571:$Y$611,R$17 + 1 + $H36*$H$39, R$15)</f>
        <v>0.34715495504601035</v>
      </c>
      <c r="S36" s="323">
        <f>INDEX('Volume adjustments'!$J$571:$Y$611,S$17 + 1 + $H36*$H$39, S$15)</f>
        <v>23.549882808259575</v>
      </c>
      <c r="T36" s="323">
        <f>INDEX('Volume adjustments'!$J$571:$Y$611,T$17 + 1 + $H36*$H$39, T$15)</f>
        <v>15.11889274576099</v>
      </c>
      <c r="U36" s="323">
        <f>INDEX('Volume adjustments'!$J$571:$Y$611,U$17 + 1 + $H36*$H$39, U$15)</f>
        <v>5.0323012171107608</v>
      </c>
      <c r="V36" s="323">
        <f>INDEX('Volume adjustments'!$J$571:$Y$611,V$17 + 1 + $H36*$H$39, V$15)</f>
        <v>3.2920681971103534</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0</v>
      </c>
      <c r="AH36" s="323">
        <f>INDEX('Volume adjustments'!$J$571:$Y$611,AH$17 + 1 + $H36*$H$39, AH$15)</f>
        <v>0</v>
      </c>
      <c r="AI36" s="323">
        <f>INDEX('Volume adjustments'!$J$571:$Y$611,AI$17 + 1 + $H36*$H$39, AI$15)</f>
        <v>0</v>
      </c>
      <c r="AJ36" s="323">
        <f>INDEX('Volume adjustments'!$J$571:$Y$611,AJ$17 + 1 + $H36*$H$39, AJ$15)</f>
        <v>0</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25">
      <c r="E37" s="23"/>
      <c r="F37" s="62" t="s">
        <v>251</v>
      </c>
      <c r="G37" s="62" t="s">
        <v>252</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14.99303609651184</v>
      </c>
      <c r="S37" s="323">
        <f>INDEX('Volume adjustments'!$J$571:$Y$611,S$17 + 1 + $H37*$H$39, S$15)</f>
        <v>1420.7322748181173</v>
      </c>
      <c r="T37" s="323">
        <f>INDEX('Volume adjustments'!$J$571:$Y$611,T$17 + 1 + $H37*$H$39, T$15)</f>
        <v>2243.0710430872077</v>
      </c>
      <c r="U37" s="323">
        <f>INDEX('Volume adjustments'!$J$571:$Y$611,U$17 + 1 + $H37*$H$39, U$15)</f>
        <v>1208.1231927612789</v>
      </c>
      <c r="V37" s="323">
        <f>INDEX('Volume adjustments'!$J$571:$Y$611,V$17 + 1 + $H37*$H$39, V$15)</f>
        <v>1465.7068242177083</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25">
      <c r="E38" s="23"/>
      <c r="F38" s="62" t="s">
        <v>253</v>
      </c>
      <c r="G38" s="62" t="s">
        <v>252</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0.74528084838246089</v>
      </c>
      <c r="S38" s="323">
        <f>INDEX('Volume adjustments'!$J$571:$Y$611,S$17 + 1 + $H38*$H$39, S$15)</f>
        <v>40.338993706871612</v>
      </c>
      <c r="T38" s="323">
        <f>INDEX('Volume adjustments'!$J$571:$Y$611,T$17 + 1 + $H38*$H$39, T$15)</f>
        <v>5.3185460408082248</v>
      </c>
      <c r="U38" s="323">
        <f>INDEX('Volume adjustments'!$J$571:$Y$611,U$17 + 1 + $H38*$H$39, U$15)</f>
        <v>1.2754049863866139</v>
      </c>
      <c r="V38" s="323">
        <f>INDEX('Volume adjustments'!$J$571:$Y$611,V$17 + 1 + $H38*$H$39, V$15)</f>
        <v>0.25483848330452602</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25">
      <c r="E39" s="23"/>
      <c r="F39" s="70" t="s">
        <v>254</v>
      </c>
      <c r="G39" s="70" t="s">
        <v>255</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3.2229671801960769</v>
      </c>
      <c r="S39" s="185">
        <f>INDEX('Volume adjustments'!$J$571:$Y$611,S$17 + 1 + $H39*$H$39, S$15)</f>
        <v>201.59091508799898</v>
      </c>
      <c r="T39" s="185">
        <f>INDEX('Volume adjustments'!$J$571:$Y$611,T$17 + 1 + $H39*$H$39, T$15)</f>
        <v>215.46232543553398</v>
      </c>
      <c r="U39" s="185">
        <f>INDEX('Volume adjustments'!$J$571:$Y$611,U$17 + 1 + $H39*$H$39, U$15)</f>
        <v>118.76988095716746</v>
      </c>
      <c r="V39" s="185">
        <f>INDEX('Volume adjustments'!$J$571:$Y$611,V$17 + 1 + $H39*$H$39, V$15)</f>
        <v>151.24982993110368</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25">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25">
      <c r="E41" s="27" t="s">
        <v>257</v>
      </c>
      <c r="F41" s="336"/>
      <c r="G41" s="336"/>
      <c r="I41" t="s">
        <v>155</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247</v>
      </c>
    </row>
    <row r="42" spans="5:43" x14ac:dyDescent="0.25">
      <c r="E42" s="27"/>
      <c r="F42" s="24" t="s">
        <v>1034</v>
      </c>
    </row>
    <row r="43" spans="5:43" x14ac:dyDescent="0.25">
      <c r="E43" s="27"/>
      <c r="F43" s="377" t="s">
        <v>1030</v>
      </c>
      <c r="G43" s="28"/>
    </row>
    <row r="44" spans="5:43" x14ac:dyDescent="0.25">
      <c r="E44" s="23"/>
      <c r="F44" s="62" t="s">
        <v>248</v>
      </c>
      <c r="G44" s="62" t="s">
        <v>208</v>
      </c>
      <c r="H44" s="310">
        <v>0</v>
      </c>
      <c r="I44" s="19"/>
      <c r="J44" s="183">
        <f>INDEX('Volume adjustments'!$J$615:$Y$655,J$17 + 1 + $H44*$H$50, J$15)</f>
        <v>12729.688281288001</v>
      </c>
      <c r="K44" s="183">
        <f>INDEX('Volume adjustments'!$J$615:$Y$655,K$17 + 1 + $H44*$H$50, K$15)</f>
        <v>0</v>
      </c>
      <c r="L44" s="183">
        <f>INDEX('Volume adjustments'!$J$615:$Y$655,L$17 + 1 + $H44*$H$50, L$15)</f>
        <v>1.7942296743666004E-2</v>
      </c>
      <c r="M44" s="183">
        <f>INDEX('Volume adjustments'!$J$615:$Y$655,M$17 + 1 + $H44*$H$50, M$15)</f>
        <v>47.883581224452058</v>
      </c>
      <c r="N44" s="183">
        <f>INDEX('Volume adjustments'!$J$615:$Y$655,N$17 + 1 + $H44*$H$50, N$15)</f>
        <v>191.53506094941929</v>
      </c>
      <c r="O44" s="183">
        <f>INDEX('Volume adjustments'!$J$615:$Y$655,O$17 + 1 + $H44*$H$50, O$15)</f>
        <v>188.64815258223734</v>
      </c>
      <c r="P44" s="183">
        <f>INDEX('Volume adjustments'!$J$615:$Y$655,P$17 + 1 + $H44*$H$50, P$15)</f>
        <v>626.27086598714789</v>
      </c>
      <c r="Q44" s="183">
        <f>INDEX('Volume adjustments'!$J$615:$Y$655,Q$17 + 1 + $H44*$H$50, Q$15)</f>
        <v>0</v>
      </c>
      <c r="R44" s="183">
        <f>INDEX('Volume adjustments'!$J$615:$Y$655,R$17 + 1 + $H44*$H$50, R$15)</f>
        <v>7.7737985533873246</v>
      </c>
      <c r="S44" s="183">
        <f>INDEX('Volume adjustments'!$J$615:$Y$655,S$17 + 1 + $H44*$H$50, S$15)</f>
        <v>1787.6714522439731</v>
      </c>
      <c r="T44" s="183">
        <f>INDEX('Volume adjustments'!$J$615:$Y$655,T$17 + 1 + $H44*$H$50, T$15)</f>
        <v>2052.7744093051761</v>
      </c>
      <c r="U44" s="183">
        <f>INDEX('Volume adjustments'!$J$615:$Y$655,U$17 + 1 + $H44*$H$50, U$15)</f>
        <v>1025.1502898185418</v>
      </c>
      <c r="V44" s="183">
        <f>INDEX('Volume adjustments'!$J$615:$Y$655,V$17 + 1 + $H44*$H$50, V$15)</f>
        <v>1216.6337040549236</v>
      </c>
      <c r="W44" s="183">
        <f>INDEX('Volume adjustments'!$J$615:$Y$655,W$17 + 1 + $H44*$H$50, W$15)</f>
        <v>0.56633149213877765</v>
      </c>
      <c r="X44" s="183">
        <f>INDEX('Volume adjustments'!$J$615:$Y$655,X$17 + 1 + $H44*$H$50, X$15)</f>
        <v>36.153416670684742</v>
      </c>
      <c r="Y44" s="183">
        <f>INDEX('Volume adjustments'!$J$615:$Y$655,Y$17 + 1 + $H44*$H$50, Y$15)</f>
        <v>88.7175253574419</v>
      </c>
      <c r="Z44" s="183">
        <f>INDEX('Volume adjustments'!$J$615:$Y$655,Z$17 + 1 + $H44*$H$50, Z$15)</f>
        <v>90.844554015568988</v>
      </c>
      <c r="AA44" s="183">
        <f>INDEX('Volume adjustments'!$J$615:$Y$655,AA$17 + 1 + $H44*$H$50, AA$15)</f>
        <v>375.06905234416575</v>
      </c>
      <c r="AB44" s="183">
        <f>INDEX('Volume adjustments'!$J$615:$Y$655,AB$17 + 1 + $H44*$H$50, AB$15)</f>
        <v>3.5054593956071423</v>
      </c>
      <c r="AC44" s="183">
        <f>INDEX('Volume adjustments'!$J$615:$Y$655,AC$17 + 1 + $H44*$H$50, AC$15)</f>
        <v>106.22353589974244</v>
      </c>
      <c r="AD44" s="183">
        <f>INDEX('Volume adjustments'!$J$615:$Y$655,AD$17 + 1 + $H44*$H$50, AD$15)</f>
        <v>326.81395614084664</v>
      </c>
      <c r="AE44" s="183">
        <f>INDEX('Volume adjustments'!$J$615:$Y$655,AE$17 + 1 + $H44*$H$50, AE$15)</f>
        <v>223.28298466693087</v>
      </c>
      <c r="AF44" s="183">
        <f>INDEX('Volume adjustments'!$J$615:$Y$655,AF$17 + 1 + $H44*$H$50, AF$15)</f>
        <v>595.74260220887334</v>
      </c>
      <c r="AG44" s="183">
        <f>INDEX('Volume adjustments'!$J$615:$Y$655,AG$17 + 1 + $H44*$H$50, AG$15)</f>
        <v>0</v>
      </c>
      <c r="AH44" s="183">
        <f>INDEX('Volume adjustments'!$J$615:$Y$655,AH$17 + 1 + $H44*$H$50, AH$15)</f>
        <v>6.234</v>
      </c>
      <c r="AI44" s="183">
        <f>INDEX('Volume adjustments'!$J$615:$Y$655,AI$17 + 1 + $H44*$H$50, AI$15)</f>
        <v>0</v>
      </c>
      <c r="AJ44" s="183">
        <f>INDEX('Volume adjustments'!$J$615:$Y$655,AJ$17 + 1 + $H44*$H$50, AJ$15)</f>
        <v>7.8260000000000032</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5:43" x14ac:dyDescent="0.25">
      <c r="E45" s="23"/>
      <c r="F45" s="62" t="s">
        <v>249</v>
      </c>
      <c r="G45" s="62" t="s">
        <v>208</v>
      </c>
      <c r="H45" s="355">
        <v>1</v>
      </c>
      <c r="J45" s="323">
        <f>INDEX('Volume adjustments'!$J$615:$Y$655,J$17 + 1 + $H45*$H$50, J$15)</f>
        <v>64023.44241600002</v>
      </c>
      <c r="K45" s="323">
        <f>INDEX('Volume adjustments'!$J$615:$Y$655,K$17 + 1 + $H45*$H$50, K$15)</f>
        <v>0</v>
      </c>
      <c r="L45" s="323">
        <f>INDEX('Volume adjustments'!$J$615:$Y$655,L$17 + 1 + $H45*$H$50, L$15)</f>
        <v>0.14336231929097859</v>
      </c>
      <c r="M45" s="323">
        <f>INDEX('Volume adjustments'!$J$615:$Y$655,M$17 + 1 + $H45*$H$50, M$15)</f>
        <v>382.59880317266413</v>
      </c>
      <c r="N45" s="323">
        <f>INDEX('Volume adjustments'!$J$615:$Y$655,N$17 + 1 + $H45*$H$50, N$15)</f>
        <v>1530.4010938812073</v>
      </c>
      <c r="O45" s="323">
        <f>INDEX('Volume adjustments'!$J$615:$Y$655,O$17 + 1 + $H45*$H$50, O$15)</f>
        <v>1507.3341540678393</v>
      </c>
      <c r="P45" s="323">
        <f>INDEX('Volume adjustments'!$J$615:$Y$655,P$17 + 1 + $H45*$H$50, P$15)</f>
        <v>5004.0217891270022</v>
      </c>
      <c r="Q45" s="323">
        <f>INDEX('Volume adjustments'!$J$615:$Y$655,Q$17 + 1 + $H45*$H$50, Q$15)</f>
        <v>0</v>
      </c>
      <c r="R45" s="323">
        <f>INDEX('Volume adjustments'!$J$615:$Y$655,R$17 + 1 + $H45*$H$50, R$15)</f>
        <v>50.234699476143327</v>
      </c>
      <c r="S45" s="323">
        <f>INDEX('Volume adjustments'!$J$615:$Y$655,S$17 + 1 + $H45*$H$50, S$15)</f>
        <v>11552.027949891526</v>
      </c>
      <c r="T45" s="323">
        <f>INDEX('Volume adjustments'!$J$615:$Y$655,T$17 + 1 + $H45*$H$50, T$15)</f>
        <v>13265.137350237848</v>
      </c>
      <c r="U45" s="323">
        <f>INDEX('Volume adjustments'!$J$615:$Y$655,U$17 + 1 + $H45*$H$50, U$15)</f>
        <v>6624.5756657118536</v>
      </c>
      <c r="V45" s="323">
        <f>INDEX('Volume adjustments'!$J$615:$Y$655,V$17 + 1 + $H45*$H$50, V$15)</f>
        <v>7861.9516670026378</v>
      </c>
      <c r="W45" s="323">
        <f>INDEX('Volume adjustments'!$J$615:$Y$655,W$17 + 1 + $H45*$H$50, W$15)</f>
        <v>3.433521502551768</v>
      </c>
      <c r="X45" s="323">
        <f>INDEX('Volume adjustments'!$J$615:$Y$655,X$17 + 1 + $H45*$H$50, X$15)</f>
        <v>219.18882359996172</v>
      </c>
      <c r="Y45" s="323">
        <f>INDEX('Volume adjustments'!$J$615:$Y$655,Y$17 + 1 + $H45*$H$50, Y$15)</f>
        <v>537.87143253780766</v>
      </c>
      <c r="Z45" s="323">
        <f>INDEX('Volume adjustments'!$J$615:$Y$655,Z$17 + 1 + $H45*$H$50, Z$15)</f>
        <v>550.76705768950524</v>
      </c>
      <c r="AA45" s="323">
        <f>INDEX('Volume adjustments'!$J$615:$Y$655,AA$17 + 1 + $H45*$H$50, AA$15)</f>
        <v>2273.9467503421743</v>
      </c>
      <c r="AB45" s="323">
        <f>INDEX('Volume adjustments'!$J$615:$Y$655,AB$17 + 1 + $H45*$H$50, AB$15)</f>
        <v>22.765066895488712</v>
      </c>
      <c r="AC45" s="323">
        <f>INDEX('Volume adjustments'!$J$615:$Y$655,AC$17 + 1 + $H45*$H$50, AC$15)</f>
        <v>689.83423504015673</v>
      </c>
      <c r="AD45" s="323">
        <f>INDEX('Volume adjustments'!$J$615:$Y$655,AD$17 + 1 + $H45*$H$50, AD$15)</f>
        <v>2122.3870352767544</v>
      </c>
      <c r="AE45" s="323">
        <f>INDEX('Volume adjustments'!$J$615:$Y$655,AE$17 + 1 + $H45*$H$50, AE$15)</f>
        <v>1450.038784912721</v>
      </c>
      <c r="AF45" s="323">
        <f>INDEX('Volume adjustments'!$J$615:$Y$655,AF$17 + 1 + $H45*$H$50, AF$15)</f>
        <v>3868.8567349468817</v>
      </c>
      <c r="AG45" s="323">
        <f>INDEX('Volume adjustments'!$J$615:$Y$655,AG$17 + 1 + $H45*$H$50, AG$15)</f>
        <v>0</v>
      </c>
      <c r="AH45" s="323">
        <f>INDEX('Volume adjustments'!$J$615:$Y$655,AH$17 + 1 + $H45*$H$50, AH$15)</f>
        <v>163.50900000000001</v>
      </c>
      <c r="AI45" s="323">
        <f>INDEX('Volume adjustments'!$J$615:$Y$655,AI$17 + 1 + $H45*$H$50, AI$15)</f>
        <v>0</v>
      </c>
      <c r="AJ45" s="323">
        <f>INDEX('Volume adjustments'!$J$615:$Y$655,AJ$17 + 1 + $H45*$H$50, AJ$15)</f>
        <v>65.302000000000007</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0</v>
      </c>
      <c r="AO45" s="323">
        <f>INDEX('Volume adjustments'!$J$615:$Y$655,AO$17 + 1 + $H45*$H$50, AO$15)</f>
        <v>0</v>
      </c>
    </row>
    <row r="46" spans="5:43" x14ac:dyDescent="0.25">
      <c r="E46" s="23"/>
      <c r="F46" s="62" t="s">
        <v>250</v>
      </c>
      <c r="G46" s="62" t="s">
        <v>208</v>
      </c>
      <c r="H46" s="355">
        <v>2</v>
      </c>
      <c r="J46" s="323">
        <f>INDEX('Volume adjustments'!$J$615:$Y$655,J$17 + 1 + $H46*$H$50, J$15)</f>
        <v>64026.581807736024</v>
      </c>
      <c r="K46" s="323">
        <f>INDEX('Volume adjustments'!$J$615:$Y$655,K$17 + 1 + $H46*$H$50, K$15)</f>
        <v>0</v>
      </c>
      <c r="L46" s="323">
        <f>INDEX('Volume adjustments'!$J$615:$Y$655,L$17 + 1 + $H46*$H$50, L$15)</f>
        <v>0.10861382418751396</v>
      </c>
      <c r="M46" s="323">
        <f>INDEX('Volume adjustments'!$J$615:$Y$655,M$17 + 1 + $H46*$H$50, M$15)</f>
        <v>289.86360814800224</v>
      </c>
      <c r="N46" s="323">
        <f>INDEX('Volume adjustments'!$J$615:$Y$655,N$17 + 1 + $H46*$H$50, N$15)</f>
        <v>1159.4588882858038</v>
      </c>
      <c r="O46" s="323">
        <f>INDEX('Volume adjustments'!$J$615:$Y$655,O$17 + 1 + $H46*$H$50, O$15)</f>
        <v>1141.9829674313989</v>
      </c>
      <c r="P46" s="323">
        <f>INDEX('Volume adjustments'!$J$615:$Y$655,P$17 + 1 + $H46*$H$50, P$15)</f>
        <v>3791.1352545266104</v>
      </c>
      <c r="Q46" s="323">
        <f>INDEX('Volume adjustments'!$J$615:$Y$655,Q$17 + 1 + $H46*$H$50, Q$15)</f>
        <v>0</v>
      </c>
      <c r="R46" s="323">
        <f>INDEX('Volume adjustments'!$J$615:$Y$655,R$17 + 1 + $H46*$H$50, R$15)</f>
        <v>48.49864249491587</v>
      </c>
      <c r="S46" s="323">
        <f>INDEX('Volume adjustments'!$J$615:$Y$655,S$17 + 1 + $H46*$H$50, S$15)</f>
        <v>11152.802335348573</v>
      </c>
      <c r="T46" s="323">
        <f>INDEX('Volume adjustments'!$J$615:$Y$655,T$17 + 1 + $H46*$H$50, T$15)</f>
        <v>12806.708524267502</v>
      </c>
      <c r="U46" s="323">
        <f>INDEX('Volume adjustments'!$J$615:$Y$655,U$17 + 1 + $H46*$H$50, U$15)</f>
        <v>6395.6374825026496</v>
      </c>
      <c r="V46" s="323">
        <f>INDEX('Volume adjustments'!$J$615:$Y$655,V$17 + 1 + $H46*$H$50, V$15)</f>
        <v>7590.2511050423809</v>
      </c>
      <c r="W46" s="323">
        <f>INDEX('Volume adjustments'!$J$615:$Y$655,W$17 + 1 + $H46*$H$50, W$15)</f>
        <v>4.1287367021650692</v>
      </c>
      <c r="X46" s="323">
        <f>INDEX('Volume adjustments'!$J$615:$Y$655,X$17 + 1 + $H46*$H$50, X$15)</f>
        <v>263.56990629852692</v>
      </c>
      <c r="Y46" s="323">
        <f>INDEX('Volume adjustments'!$J$615:$Y$655,Y$17 + 1 + $H46*$H$50, Y$15)</f>
        <v>646.77897689428164</v>
      </c>
      <c r="Z46" s="323">
        <f>INDEX('Volume adjustments'!$J$615:$Y$655,Z$17 + 1 + $H46*$H$50, Z$15)</f>
        <v>662.28569232379243</v>
      </c>
      <c r="AA46" s="323">
        <f>INDEX('Volume adjustments'!$J$615:$Y$655,AA$17 + 1 + $H46*$H$50, AA$15)</f>
        <v>2734.3726841172361</v>
      </c>
      <c r="AB46" s="323">
        <f>INDEX('Volume adjustments'!$J$615:$Y$655,AB$17 + 1 + $H46*$H$50, AB$15)</f>
        <v>26.244822906227778</v>
      </c>
      <c r="AC46" s="323">
        <f>INDEX('Volume adjustments'!$J$615:$Y$655,AC$17 + 1 + $H46*$H$50, AC$15)</f>
        <v>795.27889886718299</v>
      </c>
      <c r="AD46" s="323">
        <f>INDEX('Volume adjustments'!$J$615:$Y$655,AD$17 + 1 + $H46*$H$50, AD$15)</f>
        <v>2446.8046650172796</v>
      </c>
      <c r="AE46" s="323">
        <f>INDEX('Volume adjustments'!$J$615:$Y$655,AE$17 + 1 + $H46*$H$50, AE$15)</f>
        <v>1671.6845723276801</v>
      </c>
      <c r="AF46" s="323">
        <f>INDEX('Volume adjustments'!$J$615:$Y$655,AF$17 + 1 + $H46*$H$50, AF$15)</f>
        <v>4460.2311218496325</v>
      </c>
      <c r="AG46" s="323">
        <f>INDEX('Volume adjustments'!$J$615:$Y$655,AG$17 + 1 + $H46*$H$50, AG$15)</f>
        <v>0</v>
      </c>
      <c r="AH46" s="323">
        <f>INDEX('Volume adjustments'!$J$615:$Y$655,AH$17 + 1 + $H46*$H$50, AH$15)</f>
        <v>56.274000000000008</v>
      </c>
      <c r="AI46" s="323">
        <f>INDEX('Volume adjustments'!$J$615:$Y$655,AI$17 + 1 + $H46*$H$50, AI$15)</f>
        <v>0</v>
      </c>
      <c r="AJ46" s="323">
        <f>INDEX('Volume adjustments'!$J$615:$Y$655,AJ$17 + 1 + $H46*$H$50, AJ$15)</f>
        <v>69.393999999999991</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0</v>
      </c>
      <c r="AO46" s="323">
        <f>INDEX('Volume adjustments'!$J$615:$Y$655,AO$17 + 1 + $H46*$H$50, AO$15)</f>
        <v>0</v>
      </c>
    </row>
    <row r="47" spans="5:43" x14ac:dyDescent="0.25">
      <c r="E47" s="23"/>
      <c r="F47" s="62" t="s">
        <v>213</v>
      </c>
      <c r="G47" s="62" t="s">
        <v>213</v>
      </c>
      <c r="H47" s="355">
        <v>3</v>
      </c>
      <c r="J47" s="323">
        <f>INDEX('Volume adjustments'!$J$615:$Y$655,J$17 + 1 + $H47*$H$50, J$15)</f>
        <v>47384.722591912338</v>
      </c>
      <c r="K47" s="323">
        <f>INDEX('Volume adjustments'!$J$615:$Y$655,K$17 + 1 + $H47*$H$50, K$15)</f>
        <v>0</v>
      </c>
      <c r="L47" s="323">
        <f>INDEX('Volume adjustments'!$J$615:$Y$655,L$17 + 1 + $H47*$H$50, L$15)</f>
        <v>0.47469967463076912</v>
      </c>
      <c r="M47" s="323">
        <f>INDEX('Volume adjustments'!$J$615:$Y$655,M$17 + 1 + $H47*$H$50, M$15)</f>
        <v>545.49302201110834</v>
      </c>
      <c r="N47" s="323">
        <f>INDEX('Volume adjustments'!$J$615:$Y$655,N$17 + 1 + $H47*$H$50, N$15)</f>
        <v>369.75289177748181</v>
      </c>
      <c r="O47" s="323">
        <f>INDEX('Volume adjustments'!$J$615:$Y$655,O$17 + 1 + $H47*$H$50, O$15)</f>
        <v>151.81109449757187</v>
      </c>
      <c r="P47" s="323">
        <f>INDEX('Volume adjustments'!$J$615:$Y$655,P$17 + 1 + $H47*$H$50, P$15)</f>
        <v>154.52855408852255</v>
      </c>
      <c r="Q47" s="323">
        <f>INDEX('Volume adjustments'!$J$615:$Y$655,Q$17 + 1 + $H47*$H$50, Q$15)</f>
        <v>0</v>
      </c>
      <c r="R47" s="323">
        <f>INDEX('Volume adjustments'!$J$615:$Y$655,R$17 + 1 + $H47*$H$50, R$15)</f>
        <v>2.7407148406421262</v>
      </c>
      <c r="S47" s="323">
        <f>INDEX('Volume adjustments'!$J$615:$Y$655,S$17 + 1 + $H47*$H$50, S$15)</f>
        <v>185.92133676854928</v>
      </c>
      <c r="T47" s="323">
        <f>INDEX('Volume adjustments'!$J$615:$Y$655,T$17 + 1 + $H47*$H$50, T$15)</f>
        <v>119.36045595803728</v>
      </c>
      <c r="U47" s="323">
        <f>INDEX('Volume adjustments'!$J$615:$Y$655,U$17 + 1 + $H47*$H$50, U$15)</f>
        <v>39.728952238313731</v>
      </c>
      <c r="V47" s="323">
        <f>INDEX('Volume adjustments'!$J$615:$Y$655,V$17 + 1 + $H47*$H$50, V$15)</f>
        <v>25.990181136923411</v>
      </c>
      <c r="W47" s="323">
        <f>INDEX('Volume adjustments'!$J$615:$Y$655,W$17 + 1 + $H47*$H$50, W$15)</f>
        <v>4.9903394748886803E-2</v>
      </c>
      <c r="X47" s="323">
        <f>INDEX('Volume adjustments'!$J$615:$Y$655,X$17 + 1 + $H47*$H$50, X$15)</f>
        <v>2.1372730861053002</v>
      </c>
      <c r="Y47" s="323">
        <f>INDEX('Volume adjustments'!$J$615:$Y$655,Y$17 + 1 + $H47*$H$50, Y$15)</f>
        <v>2.900759682417045</v>
      </c>
      <c r="Z47" s="323">
        <f>INDEX('Volume adjustments'!$J$615:$Y$655,Z$17 + 1 + $H47*$H$50, Z$15)</f>
        <v>1.9505202347164174</v>
      </c>
      <c r="AA47" s="323">
        <f>INDEX('Volume adjustments'!$J$615:$Y$655,AA$17 + 1 + $H47*$H$50, AA$15)</f>
        <v>3.7352243472178319</v>
      </c>
      <c r="AB47" s="323">
        <f>INDEX('Volume adjustments'!$J$615:$Y$655,AB$17 + 1 + $H47*$H$50, AB$15)</f>
        <v>1.2716062387303642</v>
      </c>
      <c r="AC47" s="323">
        <f>INDEX('Volume adjustments'!$J$615:$Y$655,AC$17 + 1 + $H47*$H$50, AC$15)</f>
        <v>2.8651398562927874</v>
      </c>
      <c r="AD47" s="323">
        <f>INDEX('Volume adjustments'!$J$615:$Y$655,AD$17 + 1 + $H47*$H$50, AD$15)</f>
        <v>3.5614308549914604</v>
      </c>
      <c r="AE47" s="323">
        <f>INDEX('Volume adjustments'!$J$615:$Y$655,AE$17 + 1 + $H47*$H$50, AE$15)</f>
        <v>1.0974892268007526</v>
      </c>
      <c r="AF47" s="323">
        <f>INDEX('Volume adjustments'!$J$615:$Y$655,AF$17 + 1 + $H47*$H$50, AF$15)</f>
        <v>1.1581524752394343</v>
      </c>
      <c r="AG47" s="323">
        <f>INDEX('Volume adjustments'!$J$615:$Y$655,AG$17 + 1 + $H47*$H$50, AG$15)</f>
        <v>0</v>
      </c>
      <c r="AH47" s="323">
        <f>INDEX('Volume adjustments'!$J$615:$Y$655,AH$17 + 1 + $H47*$H$50, AH$15)</f>
        <v>0</v>
      </c>
      <c r="AI47" s="323">
        <f>INDEX('Volume adjustments'!$J$615:$Y$655,AI$17 + 1 + $H47*$H$50, AI$15)</f>
        <v>0</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25">
      <c r="E48" s="23"/>
      <c r="F48" s="62" t="s">
        <v>251</v>
      </c>
      <c r="G48" s="62" t="s">
        <v>252</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168.07103246758192</v>
      </c>
      <c r="S48" s="323">
        <f>INDEX('Volume adjustments'!$J$615:$Y$655,S$17 + 1 + $H48*$H$50, S$15)</f>
        <v>15926.32331114382</v>
      </c>
      <c r="T48" s="323">
        <f>INDEX('Volume adjustments'!$J$615:$Y$655,T$17 + 1 + $H48*$H$50, T$15)</f>
        <v>25144.691420939856</v>
      </c>
      <c r="U48" s="323">
        <f>INDEX('Volume adjustments'!$J$615:$Y$655,U$17 + 1 + $H48*$H$50, U$15)</f>
        <v>13542.98829458963</v>
      </c>
      <c r="V48" s="323">
        <f>INDEX('Volume adjustments'!$J$615:$Y$655,V$17 + 1 + $H48*$H$50, V$15)</f>
        <v>16430.485303664613</v>
      </c>
      <c r="W48" s="323">
        <f>INDEX('Volume adjustments'!$J$615:$Y$655,W$17 + 1 + $H48*$H$50, W$15)</f>
        <v>12.392712598545598</v>
      </c>
      <c r="X48" s="323">
        <f>INDEX('Volume adjustments'!$J$615:$Y$655,X$17 + 1 + $H48*$H$50, X$15)</f>
        <v>344.98188512792871</v>
      </c>
      <c r="Y48" s="323">
        <f>INDEX('Volume adjustments'!$J$615:$Y$655,Y$17 + 1 + $H48*$H$50, Y$15)</f>
        <v>984.44697896370167</v>
      </c>
      <c r="Z48" s="323">
        <f>INDEX('Volume adjustments'!$J$615:$Y$655,Z$17 + 1 + $H48*$H$50, Z$15)</f>
        <v>1048.1531688081477</v>
      </c>
      <c r="AA48" s="323">
        <f>INDEX('Volume adjustments'!$J$615:$Y$655,AA$17 + 1 + $H48*$H$50, AA$15)</f>
        <v>4202.3323422825024</v>
      </c>
      <c r="AB48" s="323">
        <f>INDEX('Volume adjustments'!$J$615:$Y$655,AB$17 + 1 + $H48*$H$50, AB$15)</f>
        <v>321.35573658571514</v>
      </c>
      <c r="AC48" s="323">
        <f>INDEX('Volume adjustments'!$J$615:$Y$655,AC$17 + 1 + $H48*$H$50, AC$15)</f>
        <v>1263.1685386266458</v>
      </c>
      <c r="AD48" s="323">
        <f>INDEX('Volume adjustments'!$J$615:$Y$655,AD$17 + 1 + $H48*$H$50, AD$15)</f>
        <v>4262.2484733268338</v>
      </c>
      <c r="AE48" s="323">
        <f>INDEX('Volume adjustments'!$J$615:$Y$655,AE$17 + 1 + $H48*$H$50, AE$15)</f>
        <v>2612.1373957549358</v>
      </c>
      <c r="AF48" s="323">
        <f>INDEX('Volume adjustments'!$J$615:$Y$655,AF$17 + 1 + $H48*$H$50, AF$15)</f>
        <v>6606.5369570757421</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25">
      <c r="E49" s="23"/>
      <c r="F49" s="62" t="s">
        <v>253</v>
      </c>
      <c r="G49" s="62" t="s">
        <v>252</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1.9388600055514318</v>
      </c>
      <c r="S49" s="323">
        <f>INDEX('Volume adjustments'!$J$615:$Y$655,S$17 + 1 + $H49*$H$50, S$15)</f>
        <v>104.94253506204127</v>
      </c>
      <c r="T49" s="323">
        <f>INDEX('Volume adjustments'!$J$615:$Y$655,T$17 + 1 + $H49*$H$50, T$15)</f>
        <v>13.836282293564508</v>
      </c>
      <c r="U49" s="323">
        <f>INDEX('Volume adjustments'!$J$615:$Y$655,U$17 + 1 + $H49*$H$50, U$15)</f>
        <v>3.3179863998287984</v>
      </c>
      <c r="V49" s="323">
        <f>INDEX('Volume adjustments'!$J$615:$Y$655,V$17 + 1 + $H49*$H$50, V$15)</f>
        <v>0.66296637600027664</v>
      </c>
      <c r="W49" s="323">
        <f>INDEX('Volume adjustments'!$J$615:$Y$655,W$17 + 1 + $H49*$H$50, W$15)</f>
        <v>0</v>
      </c>
      <c r="X49" s="323">
        <f>INDEX('Volume adjustments'!$J$615:$Y$655,X$17 + 1 + $H49*$H$50, X$15)</f>
        <v>0</v>
      </c>
      <c r="Y49" s="323">
        <f>INDEX('Volume adjustments'!$J$615:$Y$655,Y$17 + 1 + $H49*$H$50, Y$15)</f>
        <v>0</v>
      </c>
      <c r="Z49" s="323">
        <f>INDEX('Volume adjustments'!$J$615:$Y$655,Z$17 + 1 + $H49*$H$50, Z$15)</f>
        <v>0</v>
      </c>
      <c r="AA49" s="323">
        <f>INDEX('Volume adjustments'!$J$615:$Y$655,AA$17 + 1 + $H49*$H$50, AA$15)</f>
        <v>0</v>
      </c>
      <c r="AB49" s="323">
        <f>INDEX('Volume adjustments'!$J$615:$Y$655,AB$17 + 1 + $H49*$H$50, AB$15)</f>
        <v>0</v>
      </c>
      <c r="AC49" s="323">
        <f>INDEX('Volume adjustments'!$J$615:$Y$655,AC$17 + 1 + $H49*$H$50, AC$15)</f>
        <v>0</v>
      </c>
      <c r="AD49" s="323">
        <f>INDEX('Volume adjustments'!$J$615:$Y$655,AD$17 + 1 + $H49*$H$50, AD$15)</f>
        <v>0</v>
      </c>
      <c r="AE49" s="323">
        <f>INDEX('Volume adjustments'!$J$615:$Y$655,AE$17 + 1 + $H49*$H$50, AE$15)</f>
        <v>0</v>
      </c>
      <c r="AF49" s="323">
        <f>INDEX('Volume adjustments'!$J$615:$Y$655,AF$17 + 1 + $H49*$H$50, AF$15)</f>
        <v>0</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25">
      <c r="E50" s="23"/>
      <c r="F50" s="70" t="s">
        <v>254</v>
      </c>
      <c r="G50" s="70" t="s">
        <v>255</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12.762222433231312</v>
      </c>
      <c r="S50" s="185">
        <f>INDEX('Volume adjustments'!$J$615:$Y$655,S$17 + 1 + $H50*$H$50, S$15)</f>
        <v>798.25451362963304</v>
      </c>
      <c r="T50" s="185">
        <f>INDEX('Volume adjustments'!$J$615:$Y$655,T$17 + 1 + $H50*$H$50, T$15)</f>
        <v>853.18216706825672</v>
      </c>
      <c r="U50" s="185">
        <f>INDEX('Volume adjustments'!$J$615:$Y$655,U$17 + 1 + $H50*$H$50, U$15)</f>
        <v>470.30191571840942</v>
      </c>
      <c r="V50" s="185">
        <f>INDEX('Volume adjustments'!$J$615:$Y$655,V$17 + 1 + $H50*$H$50, V$15)</f>
        <v>598.91518115046983</v>
      </c>
      <c r="W50" s="185">
        <f>INDEX('Volume adjustments'!$J$615:$Y$655,W$17 + 1 + $H50*$H$50, W$15)</f>
        <v>0.45989790921274154</v>
      </c>
      <c r="X50" s="185">
        <f>INDEX('Volume adjustments'!$J$615:$Y$655,X$17 + 1 + $H50*$H$50, X$15)</f>
        <v>10.1581920135517</v>
      </c>
      <c r="Y50" s="185">
        <f>INDEX('Volume adjustments'!$J$615:$Y$655,Y$17 + 1 + $H50*$H$50, Y$15)</f>
        <v>18.237790525480047</v>
      </c>
      <c r="Z50" s="185">
        <f>INDEX('Volume adjustments'!$J$615:$Y$655,Z$17 + 1 + $H50*$H$50, Z$15)</f>
        <v>18.124958612219395</v>
      </c>
      <c r="AA50" s="185">
        <f>INDEX('Volume adjustments'!$J$615:$Y$655,AA$17 + 1 + $H50*$H$50, AA$15)</f>
        <v>73.565160939536113</v>
      </c>
      <c r="AB50" s="185">
        <f>INDEX('Volume adjustments'!$J$615:$Y$655,AB$17 + 1 + $H50*$H$50, AB$15)</f>
        <v>10.79241365374588</v>
      </c>
      <c r="AC50" s="185">
        <f>INDEX('Volume adjustments'!$J$615:$Y$655,AC$17 + 1 + $H50*$H$50, AC$15)</f>
        <v>44.741365933266394</v>
      </c>
      <c r="AD50" s="185">
        <f>INDEX('Volume adjustments'!$J$615:$Y$655,AD$17 + 1 + $H50*$H$50, AD$15)</f>
        <v>95.327713785052126</v>
      </c>
      <c r="AE50" s="185">
        <f>INDEX('Volume adjustments'!$J$615:$Y$655,AE$17 + 1 + $H50*$H$50, AE$15)</f>
        <v>84.013245992628853</v>
      </c>
      <c r="AF50" s="185">
        <f>INDEX('Volume adjustments'!$J$615:$Y$655,AF$17 + 1 + $H50*$H$50, AF$15)</f>
        <v>173.60026063530671</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11.432412652588173</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3:43" x14ac:dyDescent="0.25">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25">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25">
      <c r="E54" s="27" t="s">
        <v>758</v>
      </c>
      <c r="G54" s="12"/>
      <c r="I54" t="s">
        <v>155</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156</v>
      </c>
    </row>
    <row r="55" spans="3:43" x14ac:dyDescent="0.25">
      <c r="F55" s="19" t="s">
        <v>157</v>
      </c>
      <c r="G55" s="75" t="s">
        <v>270</v>
      </c>
      <c r="H55" s="267"/>
      <c r="I55" s="255"/>
      <c r="J55" s="267">
        <f>Rounding!J150</f>
        <v>15.164999999999999</v>
      </c>
      <c r="K55" s="267">
        <f>Rounding!K150</f>
        <v>15.164999999999999</v>
      </c>
      <c r="L55" s="267">
        <f>Rounding!L150</f>
        <v>16.257000000000001</v>
      </c>
      <c r="M55" s="267">
        <f>Rounding!M150</f>
        <v>16.257000000000001</v>
      </c>
      <c r="N55" s="267">
        <f>Rounding!N150</f>
        <v>16.257000000000001</v>
      </c>
      <c r="O55" s="267">
        <f>Rounding!O150</f>
        <v>16.257000000000001</v>
      </c>
      <c r="P55" s="267">
        <f>Rounding!P150</f>
        <v>16.257000000000001</v>
      </c>
      <c r="Q55" s="267">
        <f>Rounding!Q150</f>
        <v>16.257000000000001</v>
      </c>
      <c r="R55" s="267">
        <f>Rounding!R150</f>
        <v>10.983000000000001</v>
      </c>
      <c r="S55" s="267">
        <f>Rounding!S150</f>
        <v>10.983000000000001</v>
      </c>
      <c r="T55" s="267">
        <f>Rounding!T150</f>
        <v>10.983000000000001</v>
      </c>
      <c r="U55" s="267">
        <f>Rounding!U150</f>
        <v>10.983000000000001</v>
      </c>
      <c r="V55" s="267">
        <f>Rounding!V150</f>
        <v>10.983000000000001</v>
      </c>
      <c r="W55" s="267">
        <f>Rounding!W150</f>
        <v>8.0129999999999999</v>
      </c>
      <c r="X55" s="267">
        <f>Rounding!X150</f>
        <v>8.0129999999999999</v>
      </c>
      <c r="Y55" s="267">
        <f>Rounding!Y150</f>
        <v>8.0129999999999999</v>
      </c>
      <c r="Z55" s="267">
        <f>Rounding!Z150</f>
        <v>8.0129999999999999</v>
      </c>
      <c r="AA55" s="267">
        <f>Rounding!AA150</f>
        <v>8.0129999999999999</v>
      </c>
      <c r="AB55" s="267">
        <f>Rounding!AB150</f>
        <v>5.6470000000000002</v>
      </c>
      <c r="AC55" s="267">
        <f>Rounding!AC150</f>
        <v>5.6470000000000002</v>
      </c>
      <c r="AD55" s="267">
        <f>Rounding!AD150</f>
        <v>5.6470000000000002</v>
      </c>
      <c r="AE55" s="267">
        <f>Rounding!AE150</f>
        <v>5.6470000000000002</v>
      </c>
      <c r="AF55" s="267">
        <f>Rounding!AF150</f>
        <v>5.6470000000000002</v>
      </c>
      <c r="AG55" s="267">
        <f>Rounding!AG150</f>
        <v>44.210999999999999</v>
      </c>
      <c r="AH55" s="267">
        <f>Rounding!AH150</f>
        <v>-10.4</v>
      </c>
      <c r="AI55" s="267">
        <f>Rounding!AI150</f>
        <v>-9.3209999999999997</v>
      </c>
      <c r="AJ55" s="267">
        <f>Rounding!AJ150</f>
        <v>-10.4</v>
      </c>
      <c r="AK55" s="267">
        <f>Rounding!AK150</f>
        <v>-10.4</v>
      </c>
      <c r="AL55" s="267">
        <f>Rounding!AL150</f>
        <v>-9.3209999999999997</v>
      </c>
      <c r="AM55" s="267">
        <f>Rounding!AM150</f>
        <v>-9.3209999999999997</v>
      </c>
      <c r="AN55" s="267">
        <f>Rounding!AN150</f>
        <v>-5.9269999999999996</v>
      </c>
      <c r="AO55" s="267">
        <f>Rounding!AO150</f>
        <v>-5.9269999999999996</v>
      </c>
      <c r="AP55" s="256"/>
      <c r="AQ55" s="256"/>
    </row>
    <row r="56" spans="3:43" x14ac:dyDescent="0.25">
      <c r="E56" s="23"/>
      <c r="F56" t="s">
        <v>158</v>
      </c>
      <c r="G56" s="12" t="s">
        <v>270</v>
      </c>
      <c r="H56" s="268"/>
      <c r="I56" s="256"/>
      <c r="J56" s="268">
        <f>Rounding!J151</f>
        <v>0.75800000000000001</v>
      </c>
      <c r="K56" s="268">
        <f>Rounding!K151</f>
        <v>0.75800000000000001</v>
      </c>
      <c r="L56" s="268">
        <f>Rounding!L151</f>
        <v>0.81299999999999994</v>
      </c>
      <c r="M56" s="268">
        <f>Rounding!M151</f>
        <v>0.81299999999999994</v>
      </c>
      <c r="N56" s="268">
        <f>Rounding!N151</f>
        <v>0.81299999999999994</v>
      </c>
      <c r="O56" s="268">
        <f>Rounding!O151</f>
        <v>0.81299999999999994</v>
      </c>
      <c r="P56" s="268">
        <f>Rounding!P151</f>
        <v>0.81299999999999994</v>
      </c>
      <c r="Q56" s="268">
        <f>Rounding!Q151</f>
        <v>0.81299999999999994</v>
      </c>
      <c r="R56" s="268">
        <f>Rounding!R151</f>
        <v>0.499</v>
      </c>
      <c r="S56" s="268">
        <f>Rounding!S151</f>
        <v>0.499</v>
      </c>
      <c r="T56" s="268">
        <f>Rounding!T151</f>
        <v>0.499</v>
      </c>
      <c r="U56" s="268">
        <f>Rounding!U151</f>
        <v>0.499</v>
      </c>
      <c r="V56" s="268">
        <f>Rounding!V151</f>
        <v>0.499</v>
      </c>
      <c r="W56" s="268">
        <f>Rounding!W151</f>
        <v>0.28499999999999998</v>
      </c>
      <c r="X56" s="268">
        <f>Rounding!X151</f>
        <v>0.28499999999999998</v>
      </c>
      <c r="Y56" s="268">
        <f>Rounding!Y151</f>
        <v>0.28499999999999998</v>
      </c>
      <c r="Z56" s="268">
        <f>Rounding!Z151</f>
        <v>0.28499999999999998</v>
      </c>
      <c r="AA56" s="268">
        <f>Rounding!AA151</f>
        <v>0.28499999999999998</v>
      </c>
      <c r="AB56" s="268">
        <f>Rounding!AB151</f>
        <v>0.153</v>
      </c>
      <c r="AC56" s="268">
        <f>Rounding!AC151</f>
        <v>0.153</v>
      </c>
      <c r="AD56" s="268">
        <f>Rounding!AD151</f>
        <v>0.153</v>
      </c>
      <c r="AE56" s="268">
        <f>Rounding!AE151</f>
        <v>0.153</v>
      </c>
      <c r="AF56" s="268">
        <f>Rounding!AF151</f>
        <v>0.153</v>
      </c>
      <c r="AG56" s="268">
        <f>Rounding!AG151</f>
        <v>4.4939999999999998</v>
      </c>
      <c r="AH56" s="268">
        <f>Rounding!AH151</f>
        <v>-0.52</v>
      </c>
      <c r="AI56" s="268">
        <f>Rounding!AI151</f>
        <v>-0.44</v>
      </c>
      <c r="AJ56" s="268">
        <f>Rounding!AJ151</f>
        <v>-0.52</v>
      </c>
      <c r="AK56" s="268">
        <f>Rounding!AK151</f>
        <v>-0.52</v>
      </c>
      <c r="AL56" s="268">
        <f>Rounding!AL151</f>
        <v>-0.44</v>
      </c>
      <c r="AM56" s="268">
        <f>Rounding!AM151</f>
        <v>-0.44</v>
      </c>
      <c r="AN56" s="268">
        <f>Rounding!AN151</f>
        <v>-0.191</v>
      </c>
      <c r="AO56" s="268">
        <f>Rounding!AO151</f>
        <v>-0.191</v>
      </c>
      <c r="AP56" s="256"/>
      <c r="AQ56" s="256"/>
    </row>
    <row r="57" spans="3:43" x14ac:dyDescent="0.25">
      <c r="E57" s="23"/>
      <c r="F57" t="s">
        <v>159</v>
      </c>
      <c r="G57" s="12" t="s">
        <v>270</v>
      </c>
      <c r="H57" s="268"/>
      <c r="I57" s="256"/>
      <c r="J57" s="268">
        <f>Rounding!J152</f>
        <v>5.3999999999999999E-2</v>
      </c>
      <c r="K57" s="268">
        <f>Rounding!K152</f>
        <v>5.3999999999999999E-2</v>
      </c>
      <c r="L57" s="268">
        <f>Rounding!L152</f>
        <v>5.7000000000000002E-2</v>
      </c>
      <c r="M57" s="268">
        <f>Rounding!M152</f>
        <v>5.7000000000000002E-2</v>
      </c>
      <c r="N57" s="268">
        <f>Rounding!N152</f>
        <v>5.7000000000000002E-2</v>
      </c>
      <c r="O57" s="268">
        <f>Rounding!O152</f>
        <v>5.7000000000000002E-2</v>
      </c>
      <c r="P57" s="268">
        <f>Rounding!P152</f>
        <v>5.7000000000000002E-2</v>
      </c>
      <c r="Q57" s="268">
        <f>Rounding!Q152</f>
        <v>5.7000000000000002E-2</v>
      </c>
      <c r="R57" s="268">
        <f>Rounding!R152</f>
        <v>3.4000000000000002E-2</v>
      </c>
      <c r="S57" s="268">
        <f>Rounding!S152</f>
        <v>3.4000000000000002E-2</v>
      </c>
      <c r="T57" s="268">
        <f>Rounding!T152</f>
        <v>3.4000000000000002E-2</v>
      </c>
      <c r="U57" s="268">
        <f>Rounding!U152</f>
        <v>3.4000000000000002E-2</v>
      </c>
      <c r="V57" s="268">
        <f>Rounding!V152</f>
        <v>3.4000000000000002E-2</v>
      </c>
      <c r="W57" s="268">
        <f>Rounding!W152</f>
        <v>1.6E-2</v>
      </c>
      <c r="X57" s="268">
        <f>Rounding!X152</f>
        <v>1.6E-2</v>
      </c>
      <c r="Y57" s="268">
        <f>Rounding!Y152</f>
        <v>1.6E-2</v>
      </c>
      <c r="Z57" s="268">
        <f>Rounding!Z152</f>
        <v>1.6E-2</v>
      </c>
      <c r="AA57" s="268">
        <f>Rounding!AA152</f>
        <v>1.6E-2</v>
      </c>
      <c r="AB57" s="268">
        <f>Rounding!AB152</f>
        <v>6.0000000000000001E-3</v>
      </c>
      <c r="AC57" s="268">
        <f>Rounding!AC152</f>
        <v>6.0000000000000001E-3</v>
      </c>
      <c r="AD57" s="268">
        <f>Rounding!AD152</f>
        <v>6.0000000000000001E-3</v>
      </c>
      <c r="AE57" s="268">
        <f>Rounding!AE152</f>
        <v>6.0000000000000001E-3</v>
      </c>
      <c r="AF57" s="268">
        <f>Rounding!AF152</f>
        <v>6.0000000000000001E-3</v>
      </c>
      <c r="AG57" s="268">
        <f>Rounding!AG152</f>
        <v>3.601</v>
      </c>
      <c r="AH57" s="268">
        <f>Rounding!AH152</f>
        <v>-3.6999999999999998E-2</v>
      </c>
      <c r="AI57" s="268">
        <f>Rounding!AI152</f>
        <v>-0.03</v>
      </c>
      <c r="AJ57" s="268">
        <f>Rounding!AJ152</f>
        <v>-3.6999999999999998E-2</v>
      </c>
      <c r="AK57" s="268">
        <f>Rounding!AK152</f>
        <v>-3.6999999999999998E-2</v>
      </c>
      <c r="AL57" s="268">
        <f>Rounding!AL152</f>
        <v>-0.03</v>
      </c>
      <c r="AM57" s="268">
        <f>Rounding!AM152</f>
        <v>-0.03</v>
      </c>
      <c r="AN57" s="268">
        <f>Rounding!AN152</f>
        <v>-0.01</v>
      </c>
      <c r="AO57" s="268">
        <f>Rounding!AO152</f>
        <v>-0.01</v>
      </c>
      <c r="AP57" s="256"/>
      <c r="AQ57" s="256"/>
    </row>
    <row r="58" spans="3:43" x14ac:dyDescent="0.25">
      <c r="E58" s="23"/>
      <c r="F58" t="s">
        <v>160</v>
      </c>
      <c r="G58" s="12" t="s">
        <v>271</v>
      </c>
      <c r="H58" s="41"/>
      <c r="J58" s="110">
        <f>Rounding!J153</f>
        <v>29.42</v>
      </c>
      <c r="K58" s="110">
        <f>Rounding!K153</f>
        <v>0</v>
      </c>
      <c r="L58" s="110">
        <f>Rounding!L153</f>
        <v>12.64</v>
      </c>
      <c r="M58" s="110">
        <f>Rounding!M153</f>
        <v>20.9</v>
      </c>
      <c r="N58" s="110">
        <f>Rounding!N153</f>
        <v>61.37</v>
      </c>
      <c r="O58" s="110">
        <f>Rounding!O153</f>
        <v>129.55000000000001</v>
      </c>
      <c r="P58" s="110">
        <f>Rounding!P153</f>
        <v>393.94</v>
      </c>
      <c r="Q58" s="110">
        <f>Rounding!Q153</f>
        <v>0</v>
      </c>
      <c r="R58" s="110">
        <f>Rounding!R153</f>
        <v>17.29</v>
      </c>
      <c r="S58" s="110">
        <f>Rounding!S153</f>
        <v>653.9</v>
      </c>
      <c r="T58" s="110">
        <f>Rounding!T153</f>
        <v>1176.25</v>
      </c>
      <c r="U58" s="110">
        <f>Rounding!U153</f>
        <v>1808.63</v>
      </c>
      <c r="V58" s="110">
        <f>Rounding!V153</f>
        <v>3826.05</v>
      </c>
      <c r="W58" s="110">
        <f>Rounding!W153</f>
        <v>13.66</v>
      </c>
      <c r="X58" s="110">
        <f>Rounding!X153</f>
        <v>650.26</v>
      </c>
      <c r="Y58" s="110">
        <f>Rounding!Y153</f>
        <v>1172.6099999999999</v>
      </c>
      <c r="Z58" s="110">
        <f>Rounding!Z153</f>
        <v>1805</v>
      </c>
      <c r="AA58" s="110">
        <f>Rounding!AA153</f>
        <v>3822.41</v>
      </c>
      <c r="AB58" s="110">
        <f>Rounding!AB153</f>
        <v>120.17</v>
      </c>
      <c r="AC58" s="110">
        <f>Rounding!AC153</f>
        <v>3900.97</v>
      </c>
      <c r="AD58" s="110">
        <f>Rounding!AD153</f>
        <v>9478.2099999999991</v>
      </c>
      <c r="AE58" s="110">
        <f>Rounding!AE153</f>
        <v>20867.59</v>
      </c>
      <c r="AF58" s="110">
        <f>Rounding!AF153</f>
        <v>52576.94</v>
      </c>
      <c r="AG58" s="110">
        <f>Rounding!AG153</f>
        <v>0</v>
      </c>
      <c r="AH58" s="110">
        <f>Rounding!AH153</f>
        <v>0</v>
      </c>
      <c r="AI58" s="110">
        <f>Rounding!AI153</f>
        <v>0</v>
      </c>
      <c r="AJ58" s="110">
        <f>Rounding!AJ153</f>
        <v>0</v>
      </c>
      <c r="AK58" s="110">
        <f>Rounding!AK153</f>
        <v>0</v>
      </c>
      <c r="AL58" s="110">
        <f>Rounding!AL153</f>
        <v>0</v>
      </c>
      <c r="AM58" s="110">
        <f>Rounding!AM153</f>
        <v>0</v>
      </c>
      <c r="AN58" s="110">
        <f>Rounding!AN153</f>
        <v>74.760000000000005</v>
      </c>
      <c r="AO58" s="110">
        <f>Rounding!AO153</f>
        <v>74.760000000000005</v>
      </c>
    </row>
    <row r="59" spans="3:43" x14ac:dyDescent="0.25">
      <c r="E59" s="23"/>
      <c r="F59" t="s">
        <v>161</v>
      </c>
      <c r="G59" s="12" t="s">
        <v>272</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5.18</v>
      </c>
      <c r="S59" s="110">
        <f>Rounding!S154</f>
        <v>5.18</v>
      </c>
      <c r="T59" s="110">
        <f>Rounding!T154</f>
        <v>5.18</v>
      </c>
      <c r="U59" s="110">
        <f>Rounding!U154</f>
        <v>5.18</v>
      </c>
      <c r="V59" s="110">
        <f>Rounding!V154</f>
        <v>5.18</v>
      </c>
      <c r="W59" s="110">
        <f>Rounding!W154</f>
        <v>4.8600000000000003</v>
      </c>
      <c r="X59" s="110">
        <f>Rounding!X154</f>
        <v>4.8600000000000003</v>
      </c>
      <c r="Y59" s="110">
        <f>Rounding!Y154</f>
        <v>4.8600000000000003</v>
      </c>
      <c r="Z59" s="110">
        <f>Rounding!Z154</f>
        <v>4.8600000000000003</v>
      </c>
      <c r="AA59" s="110">
        <f>Rounding!AA154</f>
        <v>4.8600000000000003</v>
      </c>
      <c r="AB59" s="110">
        <f>Rounding!AB154</f>
        <v>4.09</v>
      </c>
      <c r="AC59" s="110">
        <f>Rounding!AC154</f>
        <v>4.09</v>
      </c>
      <c r="AD59" s="110">
        <f>Rounding!AD154</f>
        <v>4.09</v>
      </c>
      <c r="AE59" s="110">
        <f>Rounding!AE154</f>
        <v>4.09</v>
      </c>
      <c r="AF59" s="110">
        <f>Rounding!AF154</f>
        <v>4.09</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25">
      <c r="E60" s="23"/>
      <c r="F60" t="s">
        <v>162</v>
      </c>
      <c r="G60" s="12" t="s">
        <v>272</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10.130000000000001</v>
      </c>
      <c r="S60" s="110">
        <f>Rounding!S155</f>
        <v>10.130000000000001</v>
      </c>
      <c r="T60" s="110">
        <f>Rounding!T155</f>
        <v>10.130000000000001</v>
      </c>
      <c r="U60" s="110">
        <f>Rounding!U155</f>
        <v>10.130000000000001</v>
      </c>
      <c r="V60" s="110">
        <f>Rounding!V155</f>
        <v>10.130000000000001</v>
      </c>
      <c r="W60" s="110">
        <f>Rounding!W155</f>
        <v>8.77</v>
      </c>
      <c r="X60" s="110">
        <f>Rounding!X155</f>
        <v>8.77</v>
      </c>
      <c r="Y60" s="110">
        <f>Rounding!Y155</f>
        <v>8.77</v>
      </c>
      <c r="Z60" s="110">
        <f>Rounding!Z155</f>
        <v>8.77</v>
      </c>
      <c r="AA60" s="110">
        <f>Rounding!AA155</f>
        <v>8.77</v>
      </c>
      <c r="AB60" s="110">
        <f>Rounding!AB155</f>
        <v>8.44</v>
      </c>
      <c r="AC60" s="110">
        <f>Rounding!AC155</f>
        <v>8.44</v>
      </c>
      <c r="AD60" s="110">
        <f>Rounding!AD155</f>
        <v>8.44</v>
      </c>
      <c r="AE60" s="110">
        <f>Rounding!AE155</f>
        <v>8.44</v>
      </c>
      <c r="AF60" s="110">
        <f>Rounding!AF155</f>
        <v>8.44</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25">
      <c r="E61" s="23"/>
      <c r="F61" s="28" t="s">
        <v>163</v>
      </c>
      <c r="G61" s="76" t="s">
        <v>273</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0.14399999999999999</v>
      </c>
      <c r="S61" s="272">
        <f>Rounding!S156</f>
        <v>0.14399999999999999</v>
      </c>
      <c r="T61" s="272">
        <f>Rounding!T156</f>
        <v>0.14399999999999999</v>
      </c>
      <c r="U61" s="272">
        <f>Rounding!U156</f>
        <v>0.14399999999999999</v>
      </c>
      <c r="V61" s="272">
        <f>Rounding!V156</f>
        <v>0.14399999999999999</v>
      </c>
      <c r="W61" s="272">
        <f>Rounding!W156</f>
        <v>9.2999999999999999E-2</v>
      </c>
      <c r="X61" s="272">
        <f>Rounding!X156</f>
        <v>9.2999999999999999E-2</v>
      </c>
      <c r="Y61" s="272">
        <f>Rounding!Y156</f>
        <v>9.2999999999999999E-2</v>
      </c>
      <c r="Z61" s="272">
        <f>Rounding!Z156</f>
        <v>9.2999999999999999E-2</v>
      </c>
      <c r="AA61" s="272">
        <f>Rounding!AA156</f>
        <v>9.2999999999999999E-2</v>
      </c>
      <c r="AB61" s="272">
        <f>Rounding!AB156</f>
        <v>6.0999999999999999E-2</v>
      </c>
      <c r="AC61" s="272">
        <f>Rounding!AC156</f>
        <v>6.0999999999999999E-2</v>
      </c>
      <c r="AD61" s="272">
        <f>Rounding!AD156</f>
        <v>6.0999999999999999E-2</v>
      </c>
      <c r="AE61" s="272">
        <f>Rounding!AE156</f>
        <v>6.0999999999999999E-2</v>
      </c>
      <c r="AF61" s="272">
        <f>Rounding!AF156</f>
        <v>6.0999999999999999E-2</v>
      </c>
      <c r="AG61" s="272">
        <f>Rounding!AG156</f>
        <v>0</v>
      </c>
      <c r="AH61" s="272">
        <f>Rounding!AH156</f>
        <v>0</v>
      </c>
      <c r="AI61" s="272">
        <f>Rounding!AI156</f>
        <v>0</v>
      </c>
      <c r="AJ61" s="272">
        <f>Rounding!AJ156</f>
        <v>0.153</v>
      </c>
      <c r="AK61" s="272">
        <f>Rounding!AK156</f>
        <v>0</v>
      </c>
      <c r="AL61" s="272">
        <f>Rounding!AL156</f>
        <v>0.12</v>
      </c>
      <c r="AM61" s="272">
        <f>Rounding!AM156</f>
        <v>0</v>
      </c>
      <c r="AN61" s="272">
        <f>Rounding!AN156</f>
        <v>9.0999999999999998E-2</v>
      </c>
      <c r="AO61" s="272">
        <f>Rounding!AO156</f>
        <v>0</v>
      </c>
      <c r="AP61" s="256"/>
      <c r="AQ61" s="256"/>
    </row>
    <row r="62" spans="3: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25">
      <c r="E63" s="27" t="s">
        <v>759</v>
      </c>
      <c r="G63" s="12"/>
      <c r="I63" t="s">
        <v>155</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156</v>
      </c>
    </row>
    <row r="64" spans="3:43" x14ac:dyDescent="0.25">
      <c r="F64" s="19" t="s">
        <v>157</v>
      </c>
      <c r="G64" s="75" t="s">
        <v>270</v>
      </c>
      <c r="H64" s="267"/>
      <c r="I64" s="255"/>
      <c r="J64" s="267">
        <f>Rounding!J159</f>
        <v>9.2420000000000009</v>
      </c>
      <c r="K64" s="267">
        <f>Rounding!K159</f>
        <v>9.2420000000000009</v>
      </c>
      <c r="L64" s="267">
        <f>Rounding!L159</f>
        <v>9.907</v>
      </c>
      <c r="M64" s="267">
        <f>Rounding!M159</f>
        <v>9.907</v>
      </c>
      <c r="N64" s="267">
        <f>Rounding!N159</f>
        <v>9.907</v>
      </c>
      <c r="O64" s="267">
        <f>Rounding!O159</f>
        <v>9.907</v>
      </c>
      <c r="P64" s="267">
        <f>Rounding!P159</f>
        <v>9.907</v>
      </c>
      <c r="Q64" s="267">
        <f>Rounding!Q159</f>
        <v>9.907</v>
      </c>
      <c r="R64" s="267">
        <f>Rounding!R159</f>
        <v>6.6929999999999996</v>
      </c>
      <c r="S64" s="267">
        <f>Rounding!S159</f>
        <v>6.6929999999999996</v>
      </c>
      <c r="T64" s="267">
        <f>Rounding!T159</f>
        <v>6.6929999999999996</v>
      </c>
      <c r="U64" s="267">
        <f>Rounding!U159</f>
        <v>6.6929999999999996</v>
      </c>
      <c r="V64" s="267">
        <f>Rounding!V159</f>
        <v>6.6929999999999996</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26.943000000000001</v>
      </c>
      <c r="AH64" s="267">
        <f>Rounding!AH159</f>
        <v>-10.4</v>
      </c>
      <c r="AI64" s="267">
        <f>Rounding!AI159</f>
        <v>0</v>
      </c>
      <c r="AJ64" s="267">
        <f>Rounding!AJ159</f>
        <v>-10.4</v>
      </c>
      <c r="AK64" s="267">
        <f>Rounding!AK159</f>
        <v>0</v>
      </c>
      <c r="AL64" s="267">
        <f>Rounding!AL159</f>
        <v>0</v>
      </c>
      <c r="AM64" s="267">
        <f>Rounding!AM159</f>
        <v>0</v>
      </c>
      <c r="AN64" s="267">
        <f>Rounding!AN159</f>
        <v>0</v>
      </c>
      <c r="AO64" s="267">
        <f>Rounding!AO159</f>
        <v>0</v>
      </c>
      <c r="AP64" s="256"/>
      <c r="AQ64" s="256"/>
    </row>
    <row r="65" spans="3:43" x14ac:dyDescent="0.25">
      <c r="E65" s="23"/>
      <c r="F65" t="s">
        <v>158</v>
      </c>
      <c r="G65" s="12" t="s">
        <v>270</v>
      </c>
      <c r="H65" s="268"/>
      <c r="I65" s="256"/>
      <c r="J65" s="268">
        <f>Rounding!J160</f>
        <v>0.46200000000000002</v>
      </c>
      <c r="K65" s="268">
        <f>Rounding!K160</f>
        <v>0.46200000000000002</v>
      </c>
      <c r="L65" s="268">
        <f>Rounding!L160</f>
        <v>0.495</v>
      </c>
      <c r="M65" s="268">
        <f>Rounding!M160</f>
        <v>0.495</v>
      </c>
      <c r="N65" s="268">
        <f>Rounding!N160</f>
        <v>0.495</v>
      </c>
      <c r="O65" s="268">
        <f>Rounding!O160</f>
        <v>0.495</v>
      </c>
      <c r="P65" s="268">
        <f>Rounding!P160</f>
        <v>0.495</v>
      </c>
      <c r="Q65" s="268">
        <f>Rounding!Q160</f>
        <v>0.495</v>
      </c>
      <c r="R65" s="268">
        <f>Rounding!R160</f>
        <v>0.30399999999999999</v>
      </c>
      <c r="S65" s="268">
        <f>Rounding!S160</f>
        <v>0.30399999999999999</v>
      </c>
      <c r="T65" s="268">
        <f>Rounding!T160</f>
        <v>0.30399999999999999</v>
      </c>
      <c r="U65" s="268">
        <f>Rounding!U160</f>
        <v>0.30399999999999999</v>
      </c>
      <c r="V65" s="268">
        <f>Rounding!V160</f>
        <v>0.30399999999999999</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2.7389999999999999</v>
      </c>
      <c r="AH65" s="268">
        <f>Rounding!AH160</f>
        <v>-0.52</v>
      </c>
      <c r="AI65" s="268">
        <f>Rounding!AI160</f>
        <v>0</v>
      </c>
      <c r="AJ65" s="268">
        <f>Rounding!AJ160</f>
        <v>-0.52</v>
      </c>
      <c r="AK65" s="268">
        <f>Rounding!AK160</f>
        <v>0</v>
      </c>
      <c r="AL65" s="268">
        <f>Rounding!AL160</f>
        <v>0</v>
      </c>
      <c r="AM65" s="268">
        <f>Rounding!AM160</f>
        <v>0</v>
      </c>
      <c r="AN65" s="268">
        <f>Rounding!AN160</f>
        <v>0</v>
      </c>
      <c r="AO65" s="268">
        <f>Rounding!AO160</f>
        <v>0</v>
      </c>
      <c r="AP65" s="256"/>
      <c r="AQ65" s="256"/>
    </row>
    <row r="66" spans="3:43" x14ac:dyDescent="0.25">
      <c r="E66" s="23"/>
      <c r="F66" t="s">
        <v>159</v>
      </c>
      <c r="G66" s="12" t="s">
        <v>270</v>
      </c>
      <c r="H66" s="268"/>
      <c r="I66" s="256"/>
      <c r="J66" s="268">
        <f>Rounding!J161</f>
        <v>3.3000000000000002E-2</v>
      </c>
      <c r="K66" s="268">
        <f>Rounding!K161</f>
        <v>3.3000000000000002E-2</v>
      </c>
      <c r="L66" s="268">
        <f>Rounding!L161</f>
        <v>3.5000000000000003E-2</v>
      </c>
      <c r="M66" s="268">
        <f>Rounding!M161</f>
        <v>3.5000000000000003E-2</v>
      </c>
      <c r="N66" s="268">
        <f>Rounding!N161</f>
        <v>3.5000000000000003E-2</v>
      </c>
      <c r="O66" s="268">
        <f>Rounding!O161</f>
        <v>3.5000000000000003E-2</v>
      </c>
      <c r="P66" s="268">
        <f>Rounding!P161</f>
        <v>3.5000000000000003E-2</v>
      </c>
      <c r="Q66" s="268">
        <f>Rounding!Q161</f>
        <v>3.5000000000000003E-2</v>
      </c>
      <c r="R66" s="268">
        <f>Rounding!R161</f>
        <v>0.02</v>
      </c>
      <c r="S66" s="268">
        <f>Rounding!S161</f>
        <v>0.02</v>
      </c>
      <c r="T66" s="268">
        <f>Rounding!T161</f>
        <v>0.02</v>
      </c>
      <c r="U66" s="268">
        <f>Rounding!U161</f>
        <v>0.02</v>
      </c>
      <c r="V66" s="268">
        <f>Rounding!V161</f>
        <v>0.02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2.1949999999999998</v>
      </c>
      <c r="AH66" s="268">
        <f>Rounding!AH161</f>
        <v>-3.6999999999999998E-2</v>
      </c>
      <c r="AI66" s="268">
        <f>Rounding!AI161</f>
        <v>0</v>
      </c>
      <c r="AJ66" s="268">
        <f>Rounding!AJ161</f>
        <v>-3.6999999999999998E-2</v>
      </c>
      <c r="AK66" s="268">
        <f>Rounding!AK161</f>
        <v>0</v>
      </c>
      <c r="AL66" s="268">
        <f>Rounding!AL161</f>
        <v>0</v>
      </c>
      <c r="AM66" s="268">
        <f>Rounding!AM161</f>
        <v>0</v>
      </c>
      <c r="AN66" s="268">
        <f>Rounding!AN161</f>
        <v>0</v>
      </c>
      <c r="AO66" s="268">
        <f>Rounding!AO161</f>
        <v>0</v>
      </c>
      <c r="AP66" s="256"/>
      <c r="AQ66" s="256"/>
    </row>
    <row r="67" spans="3:43" x14ac:dyDescent="0.25">
      <c r="E67" s="23"/>
      <c r="F67" t="s">
        <v>160</v>
      </c>
      <c r="G67" s="12" t="s">
        <v>271</v>
      </c>
      <c r="H67" s="41"/>
      <c r="J67" s="110">
        <f>Rounding!J162</f>
        <v>18.29</v>
      </c>
      <c r="K67" s="110">
        <f>Rounding!K162</f>
        <v>0</v>
      </c>
      <c r="L67" s="110">
        <f>Rounding!L162</f>
        <v>7.98</v>
      </c>
      <c r="M67" s="110">
        <f>Rounding!M162</f>
        <v>13.02</v>
      </c>
      <c r="N67" s="110">
        <f>Rounding!N162</f>
        <v>37.68</v>
      </c>
      <c r="O67" s="110">
        <f>Rounding!O162</f>
        <v>79.23</v>
      </c>
      <c r="P67" s="110">
        <f>Rounding!P162</f>
        <v>240.36</v>
      </c>
      <c r="Q67" s="110">
        <f>Rounding!Q162</f>
        <v>0</v>
      </c>
      <c r="R67" s="110">
        <f>Rounding!R162</f>
        <v>10.82</v>
      </c>
      <c r="S67" s="110">
        <f>Rounding!S162</f>
        <v>398.78</v>
      </c>
      <c r="T67" s="110">
        <f>Rounding!T162</f>
        <v>717.11</v>
      </c>
      <c r="U67" s="110">
        <f>Rounding!U162</f>
        <v>1102.5</v>
      </c>
      <c r="V67" s="110">
        <f>Rounding!V162</f>
        <v>2331.9499999999998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161</v>
      </c>
      <c r="G68" s="12" t="s">
        <v>272</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3.15</v>
      </c>
      <c r="S68" s="110">
        <f>Rounding!S163</f>
        <v>3.15</v>
      </c>
      <c r="T68" s="110">
        <f>Rounding!T163</f>
        <v>3.15</v>
      </c>
      <c r="U68" s="110">
        <f>Rounding!U163</f>
        <v>3.15</v>
      </c>
      <c r="V68" s="110">
        <f>Rounding!V163</f>
        <v>3.15</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162</v>
      </c>
      <c r="G69" s="12" t="s">
        <v>272</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6.18</v>
      </c>
      <c r="S69" s="110">
        <f>Rounding!S164</f>
        <v>6.18</v>
      </c>
      <c r="T69" s="110">
        <f>Rounding!T164</f>
        <v>6.18</v>
      </c>
      <c r="U69" s="110">
        <f>Rounding!U164</f>
        <v>6.18</v>
      </c>
      <c r="V69" s="110">
        <f>Rounding!V164</f>
        <v>6.18</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163</v>
      </c>
      <c r="G70" s="76" t="s">
        <v>273</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8.7999999999999995E-2</v>
      </c>
      <c r="S70" s="272">
        <f>Rounding!S165</f>
        <v>8.7999999999999995E-2</v>
      </c>
      <c r="T70" s="272">
        <f>Rounding!T165</f>
        <v>8.7999999999999995E-2</v>
      </c>
      <c r="U70" s="272">
        <f>Rounding!U165</f>
        <v>8.7999999999999995E-2</v>
      </c>
      <c r="V70" s="272">
        <f>Rounding!V165</f>
        <v>8.7999999999999995E-2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0.153</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155</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156</v>
      </c>
    </row>
    <row r="73" spans="3:43" x14ac:dyDescent="0.25">
      <c r="C73" s="78"/>
      <c r="F73" s="19" t="s">
        <v>157</v>
      </c>
      <c r="G73" s="75" t="s">
        <v>270</v>
      </c>
      <c r="H73" s="267"/>
      <c r="I73" s="255"/>
      <c r="J73" s="267">
        <f>Rounding!J168</f>
        <v>6.3019999999999996</v>
      </c>
      <c r="K73" s="267">
        <f>Rounding!K168</f>
        <v>6.3019999999999996</v>
      </c>
      <c r="L73" s="267">
        <f>Rounding!L168</f>
        <v>6.7549999999999999</v>
      </c>
      <c r="M73" s="267">
        <f>Rounding!M168</f>
        <v>6.7549999999999999</v>
      </c>
      <c r="N73" s="267">
        <f>Rounding!N168</f>
        <v>6.7549999999999999</v>
      </c>
      <c r="O73" s="267">
        <f>Rounding!O168</f>
        <v>6.7549999999999999</v>
      </c>
      <c r="P73" s="267">
        <f>Rounding!P168</f>
        <v>6.7549999999999999</v>
      </c>
      <c r="Q73" s="267">
        <f>Rounding!Q168</f>
        <v>6.7549999999999999</v>
      </c>
      <c r="R73" s="267">
        <f>Rounding!R168</f>
        <v>4.5640000000000001</v>
      </c>
      <c r="S73" s="267">
        <f>Rounding!S168</f>
        <v>4.5640000000000001</v>
      </c>
      <c r="T73" s="267">
        <f>Rounding!T168</f>
        <v>4.5640000000000001</v>
      </c>
      <c r="U73" s="267">
        <f>Rounding!U168</f>
        <v>4.5640000000000001</v>
      </c>
      <c r="V73" s="267">
        <f>Rounding!V168</f>
        <v>4.5640000000000001</v>
      </c>
      <c r="W73" s="267">
        <f>Rounding!W168</f>
        <v>5.59</v>
      </c>
      <c r="X73" s="267">
        <f>Rounding!X168</f>
        <v>5.59</v>
      </c>
      <c r="Y73" s="267">
        <f>Rounding!Y168</f>
        <v>5.59</v>
      </c>
      <c r="Z73" s="267">
        <f>Rounding!Z168</f>
        <v>5.59</v>
      </c>
      <c r="AA73" s="267">
        <f>Rounding!AA168</f>
        <v>5.59</v>
      </c>
      <c r="AB73" s="267">
        <f>Rounding!AB168</f>
        <v>4.673</v>
      </c>
      <c r="AC73" s="267">
        <f>Rounding!AC168</f>
        <v>4.673</v>
      </c>
      <c r="AD73" s="267">
        <f>Rounding!AD168</f>
        <v>4.673</v>
      </c>
      <c r="AE73" s="267">
        <f>Rounding!AE168</f>
        <v>4.673</v>
      </c>
      <c r="AF73" s="267">
        <f>Rounding!AF168</f>
        <v>4.673</v>
      </c>
      <c r="AG73" s="267">
        <f>Rounding!AG168</f>
        <v>18.370999999999999</v>
      </c>
      <c r="AH73" s="267">
        <f>Rounding!AH168</f>
        <v>-10.4</v>
      </c>
      <c r="AI73" s="267">
        <f>Rounding!AI168</f>
        <v>-9.3209999999999997</v>
      </c>
      <c r="AJ73" s="267">
        <f>Rounding!AJ168</f>
        <v>-10.4</v>
      </c>
      <c r="AK73" s="267">
        <f>Rounding!AK168</f>
        <v>0</v>
      </c>
      <c r="AL73" s="267">
        <f>Rounding!AL168</f>
        <v>-9.3209999999999997</v>
      </c>
      <c r="AM73" s="267">
        <f>Rounding!AM168</f>
        <v>0</v>
      </c>
      <c r="AN73" s="267">
        <f>Rounding!AN168</f>
        <v>-5.9269999999999996</v>
      </c>
      <c r="AO73" s="267">
        <f>Rounding!AO168</f>
        <v>0</v>
      </c>
      <c r="AP73" s="256"/>
      <c r="AQ73" s="256"/>
    </row>
    <row r="74" spans="3:43" x14ac:dyDescent="0.25">
      <c r="C74" s="78"/>
      <c r="F74" t="s">
        <v>158</v>
      </c>
      <c r="G74" s="12" t="s">
        <v>270</v>
      </c>
      <c r="H74" s="268"/>
      <c r="I74" s="256"/>
      <c r="J74" s="268">
        <f>Rounding!J169</f>
        <v>0.315</v>
      </c>
      <c r="K74" s="268">
        <f>Rounding!K169</f>
        <v>0.315</v>
      </c>
      <c r="L74" s="268">
        <f>Rounding!L169</f>
        <v>0.33800000000000002</v>
      </c>
      <c r="M74" s="268">
        <f>Rounding!M169</f>
        <v>0.33800000000000002</v>
      </c>
      <c r="N74" s="268">
        <f>Rounding!N169</f>
        <v>0.33800000000000002</v>
      </c>
      <c r="O74" s="268">
        <f>Rounding!O169</f>
        <v>0.33800000000000002</v>
      </c>
      <c r="P74" s="268">
        <f>Rounding!P169</f>
        <v>0.33800000000000002</v>
      </c>
      <c r="Q74" s="268">
        <f>Rounding!Q169</f>
        <v>0.33800000000000002</v>
      </c>
      <c r="R74" s="268">
        <f>Rounding!R169</f>
        <v>0.20799999999999999</v>
      </c>
      <c r="S74" s="268">
        <f>Rounding!S169</f>
        <v>0.20799999999999999</v>
      </c>
      <c r="T74" s="268">
        <f>Rounding!T169</f>
        <v>0.20799999999999999</v>
      </c>
      <c r="U74" s="268">
        <f>Rounding!U169</f>
        <v>0.20799999999999999</v>
      </c>
      <c r="V74" s="268">
        <f>Rounding!V169</f>
        <v>0.20799999999999999</v>
      </c>
      <c r="W74" s="268">
        <f>Rounding!W169</f>
        <v>0.19900000000000001</v>
      </c>
      <c r="X74" s="268">
        <f>Rounding!X169</f>
        <v>0.19900000000000001</v>
      </c>
      <c r="Y74" s="268">
        <f>Rounding!Y169</f>
        <v>0.19900000000000001</v>
      </c>
      <c r="Z74" s="268">
        <f>Rounding!Z169</f>
        <v>0.19900000000000001</v>
      </c>
      <c r="AA74" s="268">
        <f>Rounding!AA169</f>
        <v>0.19900000000000001</v>
      </c>
      <c r="AB74" s="268">
        <f>Rounding!AB169</f>
        <v>0.126</v>
      </c>
      <c r="AC74" s="268">
        <f>Rounding!AC169</f>
        <v>0.126</v>
      </c>
      <c r="AD74" s="268">
        <f>Rounding!AD169</f>
        <v>0.126</v>
      </c>
      <c r="AE74" s="268">
        <f>Rounding!AE169</f>
        <v>0.126</v>
      </c>
      <c r="AF74" s="268">
        <f>Rounding!AF169</f>
        <v>0.126</v>
      </c>
      <c r="AG74" s="268">
        <f>Rounding!AG169</f>
        <v>1.867</v>
      </c>
      <c r="AH74" s="268">
        <f>Rounding!AH169</f>
        <v>-0.52</v>
      </c>
      <c r="AI74" s="268">
        <f>Rounding!AI169</f>
        <v>-0.44</v>
      </c>
      <c r="AJ74" s="268">
        <f>Rounding!AJ169</f>
        <v>-0.52</v>
      </c>
      <c r="AK74" s="268">
        <f>Rounding!AK169</f>
        <v>0</v>
      </c>
      <c r="AL74" s="268">
        <f>Rounding!AL169</f>
        <v>-0.44</v>
      </c>
      <c r="AM74" s="268">
        <f>Rounding!AM169</f>
        <v>0</v>
      </c>
      <c r="AN74" s="268">
        <f>Rounding!AN169</f>
        <v>-0.191</v>
      </c>
      <c r="AO74" s="268">
        <f>Rounding!AO169</f>
        <v>0</v>
      </c>
      <c r="AP74" s="256"/>
      <c r="AQ74" s="256"/>
    </row>
    <row r="75" spans="3:43" x14ac:dyDescent="0.25">
      <c r="C75" s="78"/>
      <c r="F75" t="s">
        <v>159</v>
      </c>
      <c r="G75" s="12" t="s">
        <v>270</v>
      </c>
      <c r="H75" s="268"/>
      <c r="I75" s="256"/>
      <c r="J75" s="268">
        <f>Rounding!J170</f>
        <v>2.1999999999999999E-2</v>
      </c>
      <c r="K75" s="268">
        <f>Rounding!K170</f>
        <v>2.1999999999999999E-2</v>
      </c>
      <c r="L75" s="268">
        <f>Rounding!L170</f>
        <v>2.4E-2</v>
      </c>
      <c r="M75" s="268">
        <f>Rounding!M170</f>
        <v>2.4E-2</v>
      </c>
      <c r="N75" s="268">
        <f>Rounding!N170</f>
        <v>2.4E-2</v>
      </c>
      <c r="O75" s="268">
        <f>Rounding!O170</f>
        <v>2.4E-2</v>
      </c>
      <c r="P75" s="268">
        <f>Rounding!P170</f>
        <v>2.4E-2</v>
      </c>
      <c r="Q75" s="268">
        <f>Rounding!Q170</f>
        <v>2.4E-2</v>
      </c>
      <c r="R75" s="268">
        <f>Rounding!R170</f>
        <v>1.4E-2</v>
      </c>
      <c r="S75" s="268">
        <f>Rounding!S170</f>
        <v>1.4E-2</v>
      </c>
      <c r="T75" s="268">
        <f>Rounding!T170</f>
        <v>1.4E-2</v>
      </c>
      <c r="U75" s="268">
        <f>Rounding!U170</f>
        <v>1.4E-2</v>
      </c>
      <c r="V75" s="268">
        <f>Rounding!V170</f>
        <v>1.4E-2</v>
      </c>
      <c r="W75" s="268">
        <f>Rounding!W170</f>
        <v>1.0999999999999999E-2</v>
      </c>
      <c r="X75" s="268">
        <f>Rounding!X170</f>
        <v>1.0999999999999999E-2</v>
      </c>
      <c r="Y75" s="268">
        <f>Rounding!Y170</f>
        <v>1.0999999999999999E-2</v>
      </c>
      <c r="Z75" s="268">
        <f>Rounding!Z170</f>
        <v>1.0999999999999999E-2</v>
      </c>
      <c r="AA75" s="268">
        <f>Rounding!AA170</f>
        <v>1.0999999999999999E-2</v>
      </c>
      <c r="AB75" s="268">
        <f>Rounding!AB170</f>
        <v>5.0000000000000001E-3</v>
      </c>
      <c r="AC75" s="268">
        <f>Rounding!AC170</f>
        <v>5.0000000000000001E-3</v>
      </c>
      <c r="AD75" s="268">
        <f>Rounding!AD170</f>
        <v>5.0000000000000001E-3</v>
      </c>
      <c r="AE75" s="268">
        <f>Rounding!AE170</f>
        <v>5.0000000000000001E-3</v>
      </c>
      <c r="AF75" s="268">
        <f>Rounding!AF170</f>
        <v>5.0000000000000001E-3</v>
      </c>
      <c r="AG75" s="268">
        <f>Rounding!AG170</f>
        <v>1.496</v>
      </c>
      <c r="AH75" s="268">
        <f>Rounding!AH170</f>
        <v>-3.6999999999999998E-2</v>
      </c>
      <c r="AI75" s="268">
        <f>Rounding!AI170</f>
        <v>-0.03</v>
      </c>
      <c r="AJ75" s="268">
        <f>Rounding!AJ170</f>
        <v>-3.6999999999999998E-2</v>
      </c>
      <c r="AK75" s="268">
        <f>Rounding!AK170</f>
        <v>0</v>
      </c>
      <c r="AL75" s="268">
        <f>Rounding!AL170</f>
        <v>-0.03</v>
      </c>
      <c r="AM75" s="268">
        <f>Rounding!AM170</f>
        <v>0</v>
      </c>
      <c r="AN75" s="268">
        <f>Rounding!AN170</f>
        <v>-0.01</v>
      </c>
      <c r="AO75" s="268">
        <f>Rounding!AO170</f>
        <v>0</v>
      </c>
      <c r="AP75" s="256"/>
      <c r="AQ75" s="256"/>
    </row>
    <row r="76" spans="3:43" x14ac:dyDescent="0.25">
      <c r="C76" s="78"/>
      <c r="F76" t="s">
        <v>160</v>
      </c>
      <c r="G76" s="12" t="s">
        <v>271</v>
      </c>
      <c r="H76" s="41"/>
      <c r="J76" s="110">
        <f>Rounding!J171</f>
        <v>12.76</v>
      </c>
      <c r="K76" s="110">
        <f>Rounding!K171</f>
        <v>0</v>
      </c>
      <c r="L76" s="110">
        <f>Rounding!L171</f>
        <v>5.67</v>
      </c>
      <c r="M76" s="110">
        <f>Rounding!M171</f>
        <v>9.1</v>
      </c>
      <c r="N76" s="110">
        <f>Rounding!N171</f>
        <v>25.92</v>
      </c>
      <c r="O76" s="110">
        <f>Rounding!O171</f>
        <v>54.25</v>
      </c>
      <c r="P76" s="110">
        <f>Rounding!P171</f>
        <v>164.12</v>
      </c>
      <c r="Q76" s="110">
        <f>Rounding!Q171</f>
        <v>0</v>
      </c>
      <c r="R76" s="110">
        <f>Rounding!R171</f>
        <v>7.61</v>
      </c>
      <c r="S76" s="110">
        <f>Rounding!S171</f>
        <v>272.14</v>
      </c>
      <c r="T76" s="110">
        <f>Rounding!T171</f>
        <v>489.2</v>
      </c>
      <c r="U76" s="110">
        <f>Rounding!U171</f>
        <v>751.98</v>
      </c>
      <c r="V76" s="110">
        <f>Rounding!V171</f>
        <v>1590.29</v>
      </c>
      <c r="W76" s="110">
        <f>Rounding!W171</f>
        <v>9.75</v>
      </c>
      <c r="X76" s="110">
        <f>Rounding!X171</f>
        <v>453.85</v>
      </c>
      <c r="Y76" s="110">
        <f>Rounding!Y171</f>
        <v>818.26</v>
      </c>
      <c r="Z76" s="110">
        <f>Rounding!Z171</f>
        <v>1259.43</v>
      </c>
      <c r="AA76" s="110">
        <f>Rounding!AA171</f>
        <v>2666.82</v>
      </c>
      <c r="AB76" s="110">
        <f>Rounding!AB171</f>
        <v>99.57</v>
      </c>
      <c r="AC76" s="110">
        <f>Rounding!AC171</f>
        <v>3228.17</v>
      </c>
      <c r="AD76" s="110">
        <f>Rounding!AD171</f>
        <v>7843.33</v>
      </c>
      <c r="AE76" s="110">
        <f>Rounding!AE171</f>
        <v>17268.04</v>
      </c>
      <c r="AF76" s="110">
        <f>Rounding!AF171</f>
        <v>43507.5</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161</v>
      </c>
      <c r="G77" s="12" t="s">
        <v>272</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2.15</v>
      </c>
      <c r="S77" s="110">
        <f>Rounding!S172</f>
        <v>2.15</v>
      </c>
      <c r="T77" s="110">
        <f>Rounding!T172</f>
        <v>2.15</v>
      </c>
      <c r="U77" s="110">
        <f>Rounding!U172</f>
        <v>2.15</v>
      </c>
      <c r="V77" s="110">
        <f>Rounding!V172</f>
        <v>2.15</v>
      </c>
      <c r="W77" s="110">
        <f>Rounding!W172</f>
        <v>3.39</v>
      </c>
      <c r="X77" s="110">
        <f>Rounding!X172</f>
        <v>3.39</v>
      </c>
      <c r="Y77" s="110">
        <f>Rounding!Y172</f>
        <v>3.39</v>
      </c>
      <c r="Z77" s="110">
        <f>Rounding!Z172</f>
        <v>3.39</v>
      </c>
      <c r="AA77" s="110">
        <f>Rounding!AA172</f>
        <v>3.39</v>
      </c>
      <c r="AB77" s="110">
        <f>Rounding!AB172</f>
        <v>3.39</v>
      </c>
      <c r="AC77" s="110">
        <f>Rounding!AC172</f>
        <v>3.39</v>
      </c>
      <c r="AD77" s="110">
        <f>Rounding!AD172</f>
        <v>3.39</v>
      </c>
      <c r="AE77" s="110">
        <f>Rounding!AE172</f>
        <v>3.39</v>
      </c>
      <c r="AF77" s="110">
        <f>Rounding!AF172</f>
        <v>3.39</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162</v>
      </c>
      <c r="G78" s="12" t="s">
        <v>272</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4.21</v>
      </c>
      <c r="S78" s="110">
        <f>Rounding!S173</f>
        <v>4.21</v>
      </c>
      <c r="T78" s="110">
        <f>Rounding!T173</f>
        <v>4.21</v>
      </c>
      <c r="U78" s="110">
        <f>Rounding!U173</f>
        <v>4.21</v>
      </c>
      <c r="V78" s="110">
        <f>Rounding!V173</f>
        <v>4.21</v>
      </c>
      <c r="W78" s="110">
        <f>Rounding!W173</f>
        <v>6.12</v>
      </c>
      <c r="X78" s="110">
        <f>Rounding!X173</f>
        <v>6.12</v>
      </c>
      <c r="Y78" s="110">
        <f>Rounding!Y173</f>
        <v>6.12</v>
      </c>
      <c r="Z78" s="110">
        <f>Rounding!Z173</f>
        <v>6.12</v>
      </c>
      <c r="AA78" s="110">
        <f>Rounding!AA173</f>
        <v>6.12</v>
      </c>
      <c r="AB78" s="110">
        <f>Rounding!AB173</f>
        <v>6.98</v>
      </c>
      <c r="AC78" s="110">
        <f>Rounding!AC173</f>
        <v>6.98</v>
      </c>
      <c r="AD78" s="110">
        <f>Rounding!AD173</f>
        <v>6.98</v>
      </c>
      <c r="AE78" s="110">
        <f>Rounding!AE173</f>
        <v>6.98</v>
      </c>
      <c r="AF78" s="110">
        <f>Rounding!AF173</f>
        <v>6.98</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163</v>
      </c>
      <c r="G79" s="76" t="s">
        <v>273</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0.06</v>
      </c>
      <c r="S79" s="272">
        <f>Rounding!S174</f>
        <v>0.06</v>
      </c>
      <c r="T79" s="272">
        <f>Rounding!T174</f>
        <v>0.06</v>
      </c>
      <c r="U79" s="272">
        <f>Rounding!U174</f>
        <v>0.06</v>
      </c>
      <c r="V79" s="272">
        <f>Rounding!V174</f>
        <v>0.06</v>
      </c>
      <c r="W79" s="272">
        <f>Rounding!W174</f>
        <v>6.5000000000000002E-2</v>
      </c>
      <c r="X79" s="272">
        <f>Rounding!X174</f>
        <v>6.5000000000000002E-2</v>
      </c>
      <c r="Y79" s="272">
        <f>Rounding!Y174</f>
        <v>6.5000000000000002E-2</v>
      </c>
      <c r="Z79" s="272">
        <f>Rounding!Z174</f>
        <v>6.5000000000000002E-2</v>
      </c>
      <c r="AA79" s="272">
        <f>Rounding!AA174</f>
        <v>6.5000000000000002E-2</v>
      </c>
      <c r="AB79" s="272">
        <f>Rounding!AB174</f>
        <v>0.05</v>
      </c>
      <c r="AC79" s="272">
        <f>Rounding!AC174</f>
        <v>0.05</v>
      </c>
      <c r="AD79" s="272">
        <f>Rounding!AD174</f>
        <v>0.05</v>
      </c>
      <c r="AE79" s="272">
        <f>Rounding!AE174</f>
        <v>0.05</v>
      </c>
      <c r="AF79" s="272">
        <f>Rounding!AF174</f>
        <v>0.05</v>
      </c>
      <c r="AG79" s="272">
        <f>Rounding!AG174</f>
        <v>0</v>
      </c>
      <c r="AH79" s="272">
        <f>Rounding!AH174</f>
        <v>0</v>
      </c>
      <c r="AI79" s="272">
        <f>Rounding!AI174</f>
        <v>0</v>
      </c>
      <c r="AJ79" s="272">
        <f>Rounding!AJ174</f>
        <v>0.153</v>
      </c>
      <c r="AK79" s="272">
        <f>Rounding!AK174</f>
        <v>0</v>
      </c>
      <c r="AL79" s="272">
        <f>Rounding!AL174</f>
        <v>0.12</v>
      </c>
      <c r="AM79" s="272">
        <f>Rounding!AM174</f>
        <v>0</v>
      </c>
      <c r="AN79" s="272">
        <f>Rounding!AN174</f>
        <v>9.0999999999999998E-2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278</v>
      </c>
      <c r="H83" s="110">
        <f>'General inputs'!$H$88</f>
        <v>493596897.04489803</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278</v>
      </c>
      <c r="H85" s="110">
        <f>'Revenue matching'!H83</f>
        <v>218682800.90458667</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278</v>
      </c>
      <c r="H86" s="114">
        <f>'SoLR &amp; bad debt adders'!H57</f>
        <v>5644128.1912846956</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278</v>
      </c>
      <c r="H87" s="114">
        <f>'SoLR &amp; bad debt adders'!H61</f>
        <v>17399.489280247562</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278</v>
      </c>
      <c r="H88" s="114">
        <f>'Revenue matching'!H85</f>
        <v>269252568.45974636</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157</v>
      </c>
      <c r="G95" s="75" t="s">
        <v>278</v>
      </c>
      <c r="H95" s="116">
        <f t="shared" ref="H95:H101" si="0">SUM(J95:AO95)</f>
        <v>101997033.00496282</v>
      </c>
      <c r="I95" s="19"/>
      <c r="J95" s="116">
        <f t="shared" ref="J95:AO95" si="1">J22 * thousand * J55 / hundred</f>
        <v>63757633.440455407</v>
      </c>
      <c r="K95" s="116">
        <f t="shared" si="1"/>
        <v>5407.1462143723002</v>
      </c>
      <c r="L95" s="116">
        <f t="shared" si="1"/>
        <v>317.39527130755044</v>
      </c>
      <c r="M95" s="116">
        <f t="shared" si="1"/>
        <v>847049.98869653058</v>
      </c>
      <c r="N95" s="116">
        <f t="shared" si="1"/>
        <v>3388212.975376748</v>
      </c>
      <c r="O95" s="116">
        <f t="shared" si="1"/>
        <v>3337144.2032160591</v>
      </c>
      <c r="P95" s="116">
        <f t="shared" si="1"/>
        <v>11078593.463357866</v>
      </c>
      <c r="Q95" s="116">
        <f t="shared" si="1"/>
        <v>4285.2465179162273</v>
      </c>
      <c r="R95" s="116">
        <f t="shared" si="1"/>
        <v>12274.464290572341</v>
      </c>
      <c r="S95" s="116">
        <f t="shared" si="1"/>
        <v>2822649.6034275312</v>
      </c>
      <c r="T95" s="116">
        <f t="shared" si="1"/>
        <v>3241234.7722385991</v>
      </c>
      <c r="U95" s="116">
        <f t="shared" si="1"/>
        <v>1618664.3554539545</v>
      </c>
      <c r="V95" s="116">
        <f t="shared" si="1"/>
        <v>1921007.7097536623</v>
      </c>
      <c r="W95" s="116">
        <f t="shared" si="1"/>
        <v>3214.0608916822966</v>
      </c>
      <c r="X95" s="116">
        <f t="shared" si="1"/>
        <v>205178.91770968013</v>
      </c>
      <c r="Y95" s="116">
        <f t="shared" si="1"/>
        <v>503492.27019201854</v>
      </c>
      <c r="Z95" s="116">
        <f t="shared" si="1"/>
        <v>515563.6448559204</v>
      </c>
      <c r="AA95" s="116">
        <f t="shared" si="1"/>
        <v>2128602.7521922104</v>
      </c>
      <c r="AB95" s="116">
        <f t="shared" si="1"/>
        <v>22008.318493110957</v>
      </c>
      <c r="AC95" s="116">
        <f t="shared" si="1"/>
        <v>666903.00634363282</v>
      </c>
      <c r="AD95" s="116">
        <f t="shared" si="1"/>
        <v>2051835.3867555186</v>
      </c>
      <c r="AE95" s="116">
        <f t="shared" si="1"/>
        <v>1401837.1020928947</v>
      </c>
      <c r="AF95" s="116">
        <f t="shared" si="1"/>
        <v>3740249.5506745786</v>
      </c>
      <c r="AG95" s="116">
        <f t="shared" si="1"/>
        <v>1338193.0360923193</v>
      </c>
      <c r="AH95" s="116">
        <f t="shared" si="1"/>
        <v>-46713.782562438566</v>
      </c>
      <c r="AI95" s="116">
        <f t="shared" si="1"/>
        <v>0</v>
      </c>
      <c r="AJ95" s="116">
        <f t="shared" si="1"/>
        <v>-342513.99567626463</v>
      </c>
      <c r="AK95" s="116">
        <f t="shared" si="1"/>
        <v>0</v>
      </c>
      <c r="AL95" s="116">
        <f t="shared" si="1"/>
        <v>-75668.382699506139</v>
      </c>
      <c r="AM95" s="116">
        <f t="shared" si="1"/>
        <v>0</v>
      </c>
      <c r="AN95" s="116">
        <f t="shared" si="1"/>
        <v>-2149623.6446630876</v>
      </c>
      <c r="AO95" s="116">
        <f t="shared" si="1"/>
        <v>0</v>
      </c>
    </row>
    <row r="96" spans="2:43" x14ac:dyDescent="0.25">
      <c r="E96" s="23"/>
      <c r="F96" t="s">
        <v>158</v>
      </c>
      <c r="G96" s="12" t="s">
        <v>278</v>
      </c>
      <c r="H96" s="88">
        <f t="shared" si="0"/>
        <v>30167925.434727285</v>
      </c>
      <c r="J96" s="88">
        <f t="shared" ref="J96:AO96" si="2">J23 * thousand * J56 / hundred</f>
        <v>16682557.057316944</v>
      </c>
      <c r="K96" s="88">
        <f t="shared" si="2"/>
        <v>24576.579465917006</v>
      </c>
      <c r="L96" s="88">
        <f t="shared" si="2"/>
        <v>126.66565533255365</v>
      </c>
      <c r="M96" s="88">
        <f t="shared" si="2"/>
        <v>338039.50977490784</v>
      </c>
      <c r="N96" s="88">
        <f t="shared" si="2"/>
        <v>1352163.235338496</v>
      </c>
      <c r="O96" s="88">
        <f t="shared" si="2"/>
        <v>1331782.7820755534</v>
      </c>
      <c r="P96" s="88">
        <f t="shared" si="2"/>
        <v>4421229.3882583352</v>
      </c>
      <c r="Q96" s="88">
        <f t="shared" si="2"/>
        <v>12515.946585651174</v>
      </c>
      <c r="R96" s="88">
        <f t="shared" si="2"/>
        <v>4023.4098146348365</v>
      </c>
      <c r="S96" s="88">
        <f t="shared" si="2"/>
        <v>925227.84284998802</v>
      </c>
      <c r="T96" s="88">
        <f t="shared" si="2"/>
        <v>1062434.6191773729</v>
      </c>
      <c r="U96" s="88">
        <f t="shared" si="2"/>
        <v>530577.13152785925</v>
      </c>
      <c r="V96" s="88">
        <f t="shared" si="2"/>
        <v>629681.35231355822</v>
      </c>
      <c r="W96" s="88">
        <f t="shared" si="2"/>
        <v>839.05769727832853</v>
      </c>
      <c r="X96" s="88">
        <f t="shared" si="2"/>
        <v>53563.686571424558</v>
      </c>
      <c r="Y96" s="88">
        <f t="shared" si="2"/>
        <v>131440.90266554675</v>
      </c>
      <c r="Z96" s="88">
        <f t="shared" si="2"/>
        <v>134592.23680942971</v>
      </c>
      <c r="AA96" s="88">
        <f t="shared" si="2"/>
        <v>555689.6971979501</v>
      </c>
      <c r="AB96" s="88">
        <f t="shared" si="2"/>
        <v>4142.2596617991894</v>
      </c>
      <c r="AC96" s="88">
        <f t="shared" si="2"/>
        <v>125520.0583531428</v>
      </c>
      <c r="AD96" s="88">
        <f t="shared" si="2"/>
        <v>386182.84072315454</v>
      </c>
      <c r="AE96" s="88">
        <f t="shared" si="2"/>
        <v>263844.47690678888</v>
      </c>
      <c r="AF96" s="88">
        <f t="shared" si="2"/>
        <v>703964.95051048486</v>
      </c>
      <c r="AG96" s="88">
        <f t="shared" si="2"/>
        <v>1264057.6211898236</v>
      </c>
      <c r="AH96" s="88">
        <f t="shared" si="2"/>
        <v>-22016.551346653821</v>
      </c>
      <c r="AI96" s="88">
        <f t="shared" si="2"/>
        <v>0</v>
      </c>
      <c r="AJ96" s="88">
        <f t="shared" si="2"/>
        <v>-165084.8069343144</v>
      </c>
      <c r="AK96" s="88">
        <f t="shared" si="2"/>
        <v>0</v>
      </c>
      <c r="AL96" s="88">
        <f t="shared" si="2"/>
        <v>-31616.063686404279</v>
      </c>
      <c r="AM96" s="88">
        <f t="shared" si="2"/>
        <v>0</v>
      </c>
      <c r="AN96" s="88">
        <f t="shared" si="2"/>
        <v>-552130.45174670417</v>
      </c>
      <c r="AO96" s="88">
        <f t="shared" si="2"/>
        <v>0</v>
      </c>
    </row>
    <row r="97" spans="5:41" x14ac:dyDescent="0.25">
      <c r="E97" s="23"/>
      <c r="F97" t="s">
        <v>159</v>
      </c>
      <c r="G97" s="12" t="s">
        <v>278</v>
      </c>
      <c r="H97" s="88">
        <f t="shared" si="0"/>
        <v>4574836.4249518476</v>
      </c>
      <c r="J97" s="88">
        <f t="shared" ref="J97:AO97" si="3">J24 * thousand * J57 / hundred</f>
        <v>1332515.7078300675</v>
      </c>
      <c r="K97" s="88">
        <f t="shared" si="3"/>
        <v>14012.140823229573</v>
      </c>
      <c r="L97" s="88">
        <f t="shared" si="3"/>
        <v>7.5707393042833493</v>
      </c>
      <c r="M97" s="88">
        <f t="shared" si="3"/>
        <v>20204.442919704707</v>
      </c>
      <c r="N97" s="88">
        <f t="shared" si="3"/>
        <v>80818.082255270696</v>
      </c>
      <c r="O97" s="88">
        <f t="shared" si="3"/>
        <v>79599.953330332253</v>
      </c>
      <c r="P97" s="88">
        <f t="shared" si="3"/>
        <v>264254.54488875612</v>
      </c>
      <c r="Q97" s="88">
        <f t="shared" si="3"/>
        <v>6145.3768342657886</v>
      </c>
      <c r="R97" s="88">
        <f t="shared" si="3"/>
        <v>243.94550030098787</v>
      </c>
      <c r="S97" s="88">
        <f t="shared" si="3"/>
        <v>56097.981417517884</v>
      </c>
      <c r="T97" s="88">
        <f t="shared" si="3"/>
        <v>64417.038445743434</v>
      </c>
      <c r="U97" s="88">
        <f t="shared" si="3"/>
        <v>32169.704246390291</v>
      </c>
      <c r="V97" s="88">
        <f t="shared" si="3"/>
        <v>38178.54496491926</v>
      </c>
      <c r="W97" s="88">
        <f t="shared" si="3"/>
        <v>46.489815640587629</v>
      </c>
      <c r="X97" s="88">
        <f t="shared" si="3"/>
        <v>2967.8124899076165</v>
      </c>
      <c r="Y97" s="88">
        <f t="shared" si="3"/>
        <v>7282.76893516977</v>
      </c>
      <c r="Z97" s="88">
        <f t="shared" si="3"/>
        <v>7457.3754537038712</v>
      </c>
      <c r="AA97" s="88">
        <f t="shared" si="3"/>
        <v>30789.195617780209</v>
      </c>
      <c r="AB97" s="88">
        <f t="shared" si="3"/>
        <v>184.85464170724845</v>
      </c>
      <c r="AC97" s="88">
        <f t="shared" si="3"/>
        <v>5601.5236388790099</v>
      </c>
      <c r="AD97" s="88">
        <f t="shared" si="3"/>
        <v>17233.997017067461</v>
      </c>
      <c r="AE97" s="88">
        <f t="shared" si="3"/>
        <v>11774.461339262436</v>
      </c>
      <c r="AF97" s="88">
        <f t="shared" si="3"/>
        <v>31415.507313839938</v>
      </c>
      <c r="AG97" s="88">
        <f t="shared" si="3"/>
        <v>2507937.2365711103</v>
      </c>
      <c r="AH97" s="88">
        <f t="shared" si="3"/>
        <v>-792.4817840889408</v>
      </c>
      <c r="AI97" s="88">
        <f t="shared" si="3"/>
        <v>0</v>
      </c>
      <c r="AJ97" s="88">
        <f t="shared" si="3"/>
        <v>-10159.707654930842</v>
      </c>
      <c r="AK97" s="88">
        <f t="shared" si="3"/>
        <v>0</v>
      </c>
      <c r="AL97" s="88">
        <f t="shared" si="3"/>
        <v>-2088.8851708294324</v>
      </c>
      <c r="AM97" s="88">
        <f t="shared" si="3"/>
        <v>0</v>
      </c>
      <c r="AN97" s="88">
        <f t="shared" si="3"/>
        <v>-23478.757468174877</v>
      </c>
      <c r="AO97" s="88">
        <f t="shared" si="3"/>
        <v>0</v>
      </c>
    </row>
    <row r="98" spans="5:41" x14ac:dyDescent="0.25">
      <c r="E98" s="23"/>
      <c r="F98" s="19" t="s">
        <v>160</v>
      </c>
      <c r="G98" s="75" t="s">
        <v>278</v>
      </c>
      <c r="H98" s="116">
        <f t="shared" si="0"/>
        <v>311449366.98438948</v>
      </c>
      <c r="I98" s="19"/>
      <c r="J98" s="116">
        <f t="shared" ref="J98:AO98" si="4" xml:space="preserve"> J25 * J58 * days_in_year / hundred</f>
        <v>161750483.322294</v>
      </c>
      <c r="K98" s="116">
        <f t="shared" si="4"/>
        <v>0</v>
      </c>
      <c r="L98" s="116">
        <f t="shared" si="4"/>
        <v>2619.2551985354462</v>
      </c>
      <c r="M98" s="116">
        <f t="shared" si="4"/>
        <v>4976766.8106561974</v>
      </c>
      <c r="N98" s="116">
        <f t="shared" si="4"/>
        <v>9905570.8598841373</v>
      </c>
      <c r="O98" s="116">
        <f t="shared" si="4"/>
        <v>8585245.8295624852</v>
      </c>
      <c r="P98" s="116">
        <f t="shared" si="4"/>
        <v>26573614.354871038</v>
      </c>
      <c r="Q98" s="116">
        <f t="shared" si="4"/>
        <v>0</v>
      </c>
      <c r="R98" s="116">
        <f t="shared" si="4"/>
        <v>3659.5325817786138</v>
      </c>
      <c r="S98" s="116">
        <f t="shared" si="4"/>
        <v>9388740.6842200868</v>
      </c>
      <c r="T98" s="116">
        <f t="shared" si="4"/>
        <v>10842436.291920049</v>
      </c>
      <c r="U98" s="116">
        <f t="shared" si="4"/>
        <v>5549113.5960209975</v>
      </c>
      <c r="V98" s="116">
        <f t="shared" si="4"/>
        <v>7679389.9474030146</v>
      </c>
      <c r="W98" s="116">
        <f t="shared" si="4"/>
        <v>398.86265658058704</v>
      </c>
      <c r="X98" s="116">
        <f t="shared" si="4"/>
        <v>813185.53469433787</v>
      </c>
      <c r="Y98" s="116">
        <f t="shared" si="4"/>
        <v>1990251.3725450179</v>
      </c>
      <c r="Z98" s="116">
        <f t="shared" si="4"/>
        <v>2060014.3910504321</v>
      </c>
      <c r="AA98" s="116">
        <f t="shared" si="4"/>
        <v>8354039.9618677283</v>
      </c>
      <c r="AB98" s="116">
        <f t="shared" si="4"/>
        <v>62721.233818074244</v>
      </c>
      <c r="AC98" s="116">
        <f t="shared" si="4"/>
        <v>4587587.0520143099</v>
      </c>
      <c r="AD98" s="116">
        <f t="shared" si="4"/>
        <v>13855325.260378769</v>
      </c>
      <c r="AE98" s="116">
        <f t="shared" si="4"/>
        <v>9400229.2001614515</v>
      </c>
      <c r="AF98" s="116">
        <f t="shared" si="4"/>
        <v>24993491.394967675</v>
      </c>
      <c r="AG98" s="116">
        <f t="shared" si="4"/>
        <v>0</v>
      </c>
      <c r="AH98" s="116">
        <f t="shared" si="4"/>
        <v>0</v>
      </c>
      <c r="AI98" s="116">
        <f t="shared" si="4"/>
        <v>0</v>
      </c>
      <c r="AJ98" s="116">
        <f t="shared" si="4"/>
        <v>0</v>
      </c>
      <c r="AK98" s="116">
        <f t="shared" si="4"/>
        <v>0</v>
      </c>
      <c r="AL98" s="116">
        <f t="shared" si="4"/>
        <v>0</v>
      </c>
      <c r="AM98" s="116">
        <f t="shared" si="4"/>
        <v>0</v>
      </c>
      <c r="AN98" s="116">
        <f t="shared" si="4"/>
        <v>74482.235622793756</v>
      </c>
      <c r="AO98" s="116">
        <f t="shared" si="4"/>
        <v>0</v>
      </c>
    </row>
    <row r="99" spans="5:41" x14ac:dyDescent="0.25">
      <c r="E99" s="23"/>
      <c r="F99" t="s">
        <v>161</v>
      </c>
      <c r="G99" s="12" t="s">
        <v>278</v>
      </c>
      <c r="H99" s="88">
        <f t="shared" si="0"/>
        <v>36301449.666330457</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36339.994431836589</v>
      </c>
      <c r="S99" s="88">
        <f t="shared" si="5"/>
        <v>3443558.9045258546</v>
      </c>
      <c r="T99" s="88">
        <f t="shared" si="5"/>
        <v>5436736.6750332322</v>
      </c>
      <c r="U99" s="88">
        <f t="shared" si="5"/>
        <v>2928238.8046895773</v>
      </c>
      <c r="V99" s="88">
        <f t="shared" si="5"/>
        <v>3552567.838022369</v>
      </c>
      <c r="W99" s="88">
        <f t="shared" si="5"/>
        <v>12417.459379858818</v>
      </c>
      <c r="X99" s="88">
        <f t="shared" si="5"/>
        <v>345670.77314985252</v>
      </c>
      <c r="Y99" s="88">
        <f t="shared" si="5"/>
        <v>986412.80314538488</v>
      </c>
      <c r="Z99" s="88">
        <f t="shared" si="5"/>
        <v>1050246.2067161112</v>
      </c>
      <c r="AA99" s="88">
        <f t="shared" si="5"/>
        <v>4210723.9029398616</v>
      </c>
      <c r="AB99" s="88">
        <f t="shared" si="5"/>
        <v>304997.03296206787</v>
      </c>
      <c r="AC99" s="88">
        <f t="shared" si="5"/>
        <v>1198866.5909793002</v>
      </c>
      <c r="AD99" s="88">
        <f t="shared" si="5"/>
        <v>4045277.5230450775</v>
      </c>
      <c r="AE99" s="88">
        <f t="shared" si="5"/>
        <v>2479165.8112566988</v>
      </c>
      <c r="AF99" s="88">
        <f t="shared" si="5"/>
        <v>6270229.3460533777</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162</v>
      </c>
      <c r="G100" s="12" t="s">
        <v>278</v>
      </c>
      <c r="H100" s="88">
        <f t="shared" si="0"/>
        <v>1081524.5541076004</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11774.000891251737</v>
      </c>
      <c r="S100" s="88">
        <f t="shared" si="6"/>
        <v>637278.348004953</v>
      </c>
      <c r="T100" s="88">
        <f t="shared" si="6"/>
        <v>84022.776058917327</v>
      </c>
      <c r="U100" s="88">
        <f t="shared" si="6"/>
        <v>20148.94046856913</v>
      </c>
      <c r="V100" s="88">
        <f t="shared" si="6"/>
        <v>4025.9568403842291</v>
      </c>
      <c r="W100" s="88">
        <f t="shared" si="6"/>
        <v>943.31290343103001</v>
      </c>
      <c r="X100" s="88">
        <f t="shared" si="6"/>
        <v>53391.008975706434</v>
      </c>
      <c r="Y100" s="88">
        <f t="shared" si="6"/>
        <v>20928.363425543641</v>
      </c>
      <c r="Z100" s="88">
        <f t="shared" si="6"/>
        <v>11449.075046271661</v>
      </c>
      <c r="AA100" s="88">
        <f t="shared" si="6"/>
        <v>76863.210065155421</v>
      </c>
      <c r="AB100" s="88">
        <f t="shared" si="6"/>
        <v>26235.016723258435</v>
      </c>
      <c r="AC100" s="88">
        <f t="shared" si="6"/>
        <v>66819.996526196075</v>
      </c>
      <c r="AD100" s="88">
        <f t="shared" si="6"/>
        <v>44885.763626695516</v>
      </c>
      <c r="AE100" s="88">
        <f t="shared" si="6"/>
        <v>19160.914086336983</v>
      </c>
      <c r="AF100" s="88">
        <f t="shared" si="6"/>
        <v>3597.8704649296078</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163</v>
      </c>
      <c r="G101" s="75" t="s">
        <v>278</v>
      </c>
      <c r="H101" s="116">
        <f t="shared" si="0"/>
        <v>318378.23231999995</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688.46584319024657</v>
      </c>
      <c r="S101" s="116">
        <f t="shared" si="7"/>
        <v>43062.324738630785</v>
      </c>
      <c r="T101" s="116">
        <f t="shared" si="7"/>
        <v>46025.4303761423</v>
      </c>
      <c r="U101" s="116">
        <f t="shared" si="7"/>
        <v>25370.722587937395</v>
      </c>
      <c r="V101" s="116">
        <f t="shared" si="7"/>
        <v>32308.843334099256</v>
      </c>
      <c r="W101" s="116">
        <f t="shared" si="7"/>
        <v>227.07827751107823</v>
      </c>
      <c r="X101" s="116">
        <f t="shared" si="7"/>
        <v>5015.6886971127033</v>
      </c>
      <c r="Y101" s="116">
        <f t="shared" si="7"/>
        <v>9005.0551984965041</v>
      </c>
      <c r="Z101" s="116">
        <f t="shared" si="7"/>
        <v>8949.3435372815893</v>
      </c>
      <c r="AA101" s="116">
        <f t="shared" si="7"/>
        <v>36323.387639598121</v>
      </c>
      <c r="AB101" s="116">
        <f t="shared" si="7"/>
        <v>2508.1733452086114</v>
      </c>
      <c r="AC101" s="116">
        <f t="shared" si="7"/>
        <v>10397.961481312745</v>
      </c>
      <c r="AD101" s="116">
        <f t="shared" si="7"/>
        <v>22154.305648982969</v>
      </c>
      <c r="AE101" s="116">
        <f t="shared" si="7"/>
        <v>19524.806128055363</v>
      </c>
      <c r="AF101" s="116">
        <f t="shared" si="7"/>
        <v>40344.964566440314</v>
      </c>
      <c r="AG101" s="116">
        <f t="shared" si="7"/>
        <v>0</v>
      </c>
      <c r="AH101" s="116">
        <f t="shared" si="7"/>
        <v>0</v>
      </c>
      <c r="AI101" s="116">
        <f t="shared" si="7"/>
        <v>0</v>
      </c>
      <c r="AJ101" s="116">
        <f t="shared" si="7"/>
        <v>7670.4622200000022</v>
      </c>
      <c r="AK101" s="116">
        <f t="shared" si="7"/>
        <v>0</v>
      </c>
      <c r="AL101" s="116">
        <f t="shared" si="7"/>
        <v>1847.5355999999999</v>
      </c>
      <c r="AM101" s="116">
        <f t="shared" si="7"/>
        <v>0</v>
      </c>
      <c r="AN101" s="116">
        <f t="shared" si="7"/>
        <v>6953.6830999999993</v>
      </c>
      <c r="AO101" s="116">
        <f t="shared" si="7"/>
        <v>0</v>
      </c>
    </row>
    <row r="102" spans="5:41" x14ac:dyDescent="0.25">
      <c r="E102" s="23"/>
      <c r="F102" s="98" t="s">
        <v>101</v>
      </c>
      <c r="G102" s="204" t="s">
        <v>278</v>
      </c>
      <c r="H102" s="143">
        <f>SUM(H95:H101)</f>
        <v>485890514.30178952</v>
      </c>
      <c r="I102" s="44"/>
      <c r="J102" s="143">
        <f t="shared" ref="J102" si="8">SUM(J95:J101)</f>
        <v>243523189.5278964</v>
      </c>
      <c r="K102" s="143">
        <f t="shared" ref="K102:AO102" si="9">SUM(K95:K101)</f>
        <v>43995.866503518875</v>
      </c>
      <c r="L102" s="143">
        <f t="shared" si="9"/>
        <v>3070.8868644798335</v>
      </c>
      <c r="M102" s="143">
        <f t="shared" si="9"/>
        <v>6182060.7520473404</v>
      </c>
      <c r="N102" s="143">
        <f t="shared" si="9"/>
        <v>14726765.152854651</v>
      </c>
      <c r="O102" s="143">
        <f t="shared" si="9"/>
        <v>13333772.768184431</v>
      </c>
      <c r="P102" s="143">
        <f t="shared" si="9"/>
        <v>42337691.751375996</v>
      </c>
      <c r="Q102" s="143">
        <f t="shared" si="9"/>
        <v>22946.569937833192</v>
      </c>
      <c r="R102" s="143">
        <f t="shared" si="9"/>
        <v>69003.813353565361</v>
      </c>
      <c r="S102" s="143">
        <f t="shared" si="9"/>
        <v>17316615.689184561</v>
      </c>
      <c r="T102" s="143">
        <f t="shared" si="9"/>
        <v>20777307.603250053</v>
      </c>
      <c r="U102" s="143">
        <f t="shared" si="9"/>
        <v>10704283.254995285</v>
      </c>
      <c r="V102" s="143">
        <f t="shared" si="9"/>
        <v>13857160.192632006</v>
      </c>
      <c r="W102" s="143">
        <f t="shared" si="9"/>
        <v>18086.321621982726</v>
      </c>
      <c r="X102" s="143">
        <f t="shared" si="9"/>
        <v>1478973.422288022</v>
      </c>
      <c r="Y102" s="143">
        <f t="shared" si="9"/>
        <v>3648813.5361071778</v>
      </c>
      <c r="Z102" s="143">
        <f t="shared" si="9"/>
        <v>3788272.273469151</v>
      </c>
      <c r="AA102" s="143">
        <f t="shared" si="9"/>
        <v>15393032.107520286</v>
      </c>
      <c r="AB102" s="143">
        <f t="shared" si="9"/>
        <v>422796.88964522653</v>
      </c>
      <c r="AC102" s="143">
        <f t="shared" si="9"/>
        <v>6661696.189336773</v>
      </c>
      <c r="AD102" s="143">
        <f t="shared" si="9"/>
        <v>20422895.077195264</v>
      </c>
      <c r="AE102" s="143">
        <f t="shared" si="9"/>
        <v>13595536.771971488</v>
      </c>
      <c r="AF102" s="143">
        <f t="shared" si="9"/>
        <v>35783293.584551327</v>
      </c>
      <c r="AG102" s="143">
        <f t="shared" si="9"/>
        <v>5110187.8938532528</v>
      </c>
      <c r="AH102" s="143">
        <f t="shared" si="9"/>
        <v>-69522.815693181328</v>
      </c>
      <c r="AI102" s="143">
        <f t="shared" si="9"/>
        <v>0</v>
      </c>
      <c r="AJ102" s="143">
        <f t="shared" si="9"/>
        <v>-510088.0480455099</v>
      </c>
      <c r="AK102" s="143">
        <f t="shared" si="9"/>
        <v>0</v>
      </c>
      <c r="AL102" s="143">
        <f t="shared" si="9"/>
        <v>-107525.79595673985</v>
      </c>
      <c r="AM102" s="143">
        <f t="shared" si="9"/>
        <v>0</v>
      </c>
      <c r="AN102" s="143">
        <f t="shared" si="9"/>
        <v>-2643796.9351551724</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157</v>
      </c>
      <c r="G105" s="75" t="s">
        <v>278</v>
      </c>
      <c r="H105" s="116">
        <f t="shared" ref="H105:H111" si="10">SUM(J105:AO105)</f>
        <v>405465.09573204583</v>
      </c>
      <c r="I105" s="19"/>
      <c r="J105" s="116">
        <f t="shared" ref="J105:AO105" si="11">J33 * thousand * J64 / hundred</f>
        <v>369137.08629065822</v>
      </c>
      <c r="K105" s="116">
        <f t="shared" si="11"/>
        <v>0</v>
      </c>
      <c r="L105" s="116">
        <f t="shared" si="11"/>
        <v>0.29107190989590803</v>
      </c>
      <c r="M105" s="116">
        <f t="shared" si="11"/>
        <v>776.79940526997177</v>
      </c>
      <c r="N105" s="116">
        <f t="shared" si="11"/>
        <v>3107.2095618002563</v>
      </c>
      <c r="O105" s="116">
        <f t="shared" si="11"/>
        <v>3060.3762079584876</v>
      </c>
      <c r="P105" s="116">
        <f t="shared" si="11"/>
        <v>10159.783871560112</v>
      </c>
      <c r="Q105" s="116">
        <f t="shared" si="11"/>
        <v>0</v>
      </c>
      <c r="R105" s="116">
        <f t="shared" si="11"/>
        <v>24.858245813650434</v>
      </c>
      <c r="S105" s="116">
        <f t="shared" si="11"/>
        <v>5716.4301452811287</v>
      </c>
      <c r="T105" s="116">
        <f t="shared" si="11"/>
        <v>6564.1488541331237</v>
      </c>
      <c r="U105" s="116">
        <f t="shared" si="11"/>
        <v>3278.1191492465737</v>
      </c>
      <c r="V105" s="116">
        <f t="shared" si="11"/>
        <v>3890.4249284143325</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0</v>
      </c>
      <c r="AH105" s="116">
        <f t="shared" si="11"/>
        <v>-250.43199999999996</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158</v>
      </c>
      <c r="G106" s="12" t="s">
        <v>278</v>
      </c>
      <c r="H106" s="88">
        <f t="shared" si="10"/>
        <v>106323.86818643019</v>
      </c>
      <c r="J106" s="88">
        <f t="shared" ref="J106:AO106" si="12">J34 * thousand * J65 / hundred</f>
        <v>93201.043762522109</v>
      </c>
      <c r="K106" s="88">
        <f t="shared" si="12"/>
        <v>0</v>
      </c>
      <c r="L106" s="88">
        <f t="shared" si="12"/>
        <v>0.13029464525695672</v>
      </c>
      <c r="M106" s="88">
        <f t="shared" si="12"/>
        <v>347.72439216708068</v>
      </c>
      <c r="N106" s="88">
        <f t="shared" si="12"/>
        <v>1390.9029137802063</v>
      </c>
      <c r="O106" s="88">
        <f t="shared" si="12"/>
        <v>1369.9385574904186</v>
      </c>
      <c r="P106" s="88">
        <f t="shared" si="12"/>
        <v>4547.8982699006392</v>
      </c>
      <c r="Q106" s="88">
        <f t="shared" si="12"/>
        <v>0</v>
      </c>
      <c r="R106" s="88">
        <f t="shared" si="12"/>
        <v>8.0628881308805607</v>
      </c>
      <c r="S106" s="88">
        <f t="shared" si="12"/>
        <v>1854.1508163896694</v>
      </c>
      <c r="T106" s="88">
        <f t="shared" si="12"/>
        <v>2129.1123389028471</v>
      </c>
      <c r="U106" s="88">
        <f t="shared" si="12"/>
        <v>1063.2732566172601</v>
      </c>
      <c r="V106" s="88">
        <f t="shared" si="12"/>
        <v>1261.8774958838244</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0</v>
      </c>
      <c r="AH106" s="88">
        <f t="shared" si="12"/>
        <v>-850.24680000000012</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159</v>
      </c>
      <c r="G107" s="12" t="s">
        <v>278</v>
      </c>
      <c r="H107" s="88">
        <f t="shared" si="10"/>
        <v>7514.1976214208044</v>
      </c>
      <c r="J107" s="88">
        <f t="shared" ref="J107:AO107" si="13">J35 * thousand * J66 / hundred</f>
        <v>6724.1584141776038</v>
      </c>
      <c r="K107" s="88">
        <f t="shared" si="13"/>
        <v>0</v>
      </c>
      <c r="L107" s="88">
        <f t="shared" si="13"/>
        <v>6.8766702474757939E-3</v>
      </c>
      <c r="M107" s="88">
        <f t="shared" si="13"/>
        <v>18.352143153859178</v>
      </c>
      <c r="N107" s="88">
        <f t="shared" si="13"/>
        <v>73.408854718909112</v>
      </c>
      <c r="O107" s="88">
        <f t="shared" si="13"/>
        <v>72.30240122750773</v>
      </c>
      <c r="P107" s="88">
        <f t="shared" si="13"/>
        <v>240.02825794947668</v>
      </c>
      <c r="Q107" s="88">
        <f t="shared" si="13"/>
        <v>0</v>
      </c>
      <c r="R107" s="88">
        <f t="shared" si="13"/>
        <v>0.51922567586426149</v>
      </c>
      <c r="S107" s="88">
        <f t="shared" si="13"/>
        <v>119.40171997512984</v>
      </c>
      <c r="T107" s="88">
        <f t="shared" si="13"/>
        <v>137.10841266962206</v>
      </c>
      <c r="U107" s="88">
        <f t="shared" si="13"/>
        <v>68.471590617889163</v>
      </c>
      <c r="V107" s="88">
        <f t="shared" si="13"/>
        <v>81.26110458469492</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0</v>
      </c>
      <c r="AH107" s="88">
        <f t="shared" si="13"/>
        <v>-20.821380000000005</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160</v>
      </c>
      <c r="G108" s="75" t="s">
        <v>278</v>
      </c>
      <c r="H108" s="116">
        <f t="shared" si="10"/>
        <v>1183116.1307029461</v>
      </c>
      <c r="I108" s="19"/>
      <c r="J108" s="116">
        <f t="shared" ref="J108:AO108" si="14" xml:space="preserve"> J36 * J67 * days_in_year / hundred</f>
        <v>992833.31557867513</v>
      </c>
      <c r="K108" s="116">
        <f t="shared" si="14"/>
        <v>0</v>
      </c>
      <c r="L108" s="116">
        <f t="shared" si="14"/>
        <v>3.6768415647812658</v>
      </c>
      <c r="M108" s="116">
        <f t="shared" si="14"/>
        <v>6893.7142053744119</v>
      </c>
      <c r="N108" s="116">
        <f t="shared" si="14"/>
        <v>13523.078356471315</v>
      </c>
      <c r="O108" s="116">
        <f t="shared" si="14"/>
        <v>11674.714218327459</v>
      </c>
      <c r="P108" s="116">
        <f t="shared" si="14"/>
        <v>36051.557131224865</v>
      </c>
      <c r="Q108" s="116">
        <f t="shared" si="14"/>
        <v>0</v>
      </c>
      <c r="R108" s="116">
        <f t="shared" si="14"/>
        <v>13.710190639632087</v>
      </c>
      <c r="S108" s="116">
        <f t="shared" si="14"/>
        <v>34277.961271913795</v>
      </c>
      <c r="T108" s="116">
        <f t="shared" si="14"/>
        <v>39572.96849573122</v>
      </c>
      <c r="U108" s="116">
        <f t="shared" si="14"/>
        <v>20250.60913530584</v>
      </c>
      <c r="V108" s="116">
        <f t="shared" si="14"/>
        <v>28020.825277717933</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161</v>
      </c>
      <c r="G109" s="12" t="s">
        <v>278</v>
      </c>
      <c r="H109" s="88">
        <f t="shared" si="10"/>
        <v>73039.321700352011</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172.38243251964485</v>
      </c>
      <c r="S109" s="88">
        <f t="shared" si="15"/>
        <v>16334.869329721301</v>
      </c>
      <c r="T109" s="88">
        <f t="shared" si="15"/>
        <v>25789.709317895169</v>
      </c>
      <c r="U109" s="88">
        <f t="shared" si="15"/>
        <v>13890.396408772804</v>
      </c>
      <c r="V109" s="88">
        <f t="shared" si="15"/>
        <v>16851.964211443101</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162</v>
      </c>
      <c r="G110" s="12" t="s">
        <v>278</v>
      </c>
      <c r="H110" s="88">
        <f t="shared" si="10"/>
        <v>1081.2261261312003</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16.811300096963169</v>
      </c>
      <c r="S110" s="88">
        <f t="shared" si="16"/>
        <v>909.92668104590291</v>
      </c>
      <c r="T110" s="88">
        <f t="shared" si="16"/>
        <v>119.97044304251111</v>
      </c>
      <c r="U110" s="88">
        <f t="shared" si="16"/>
        <v>28.769310277922852</v>
      </c>
      <c r="V110" s="88">
        <f t="shared" si="16"/>
        <v>5.7483916679001936</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163</v>
      </c>
      <c r="G111" s="75" t="s">
        <v>278</v>
      </c>
      <c r="H111" s="116">
        <f t="shared" si="10"/>
        <v>607.46040836096006</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2.8362111185725474</v>
      </c>
      <c r="S111" s="116">
        <f t="shared" si="17"/>
        <v>177.40000527743908</v>
      </c>
      <c r="T111" s="116">
        <f t="shared" si="17"/>
        <v>189.60684638326987</v>
      </c>
      <c r="U111" s="116">
        <f t="shared" si="17"/>
        <v>104.51749524230736</v>
      </c>
      <c r="V111" s="116">
        <f t="shared" si="17"/>
        <v>133.09985033937124</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101</v>
      </c>
      <c r="G112" s="204" t="s">
        <v>278</v>
      </c>
      <c r="H112" s="143">
        <f>SUM(H105:H111)</f>
        <v>1777147.300477687</v>
      </c>
      <c r="I112" s="98"/>
      <c r="J112" s="143">
        <f t="shared" ref="J112" si="18">SUM(J105:J111)</f>
        <v>1461895.604046033</v>
      </c>
      <c r="K112" s="143">
        <f t="shared" ref="K112:AO112" si="19">SUM(K105:K111)</f>
        <v>0</v>
      </c>
      <c r="L112" s="143">
        <f t="shared" si="19"/>
        <v>4.1050847901816061</v>
      </c>
      <c r="M112" s="143">
        <f t="shared" si="19"/>
        <v>8036.5901459653232</v>
      </c>
      <c r="N112" s="143">
        <f t="shared" si="19"/>
        <v>18094.599686770685</v>
      </c>
      <c r="O112" s="143">
        <f t="shared" si="19"/>
        <v>16177.331385003872</v>
      </c>
      <c r="P112" s="143">
        <f t="shared" si="19"/>
        <v>50999.267530635094</v>
      </c>
      <c r="Q112" s="143">
        <f t="shared" si="19"/>
        <v>0</v>
      </c>
      <c r="R112" s="143">
        <f t="shared" si="19"/>
        <v>239.18049399520791</v>
      </c>
      <c r="S112" s="143">
        <f t="shared" si="19"/>
        <v>59390.139969604366</v>
      </c>
      <c r="T112" s="143">
        <f t="shared" si="19"/>
        <v>74502.62470875775</v>
      </c>
      <c r="U112" s="143">
        <f t="shared" si="19"/>
        <v>38684.156346080592</v>
      </c>
      <c r="V112" s="143">
        <f t="shared" si="19"/>
        <v>50245.201260051152</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0</v>
      </c>
      <c r="AH112" s="143">
        <f t="shared" si="19"/>
        <v>-1121.5001800000002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157</v>
      </c>
      <c r="G115" s="75" t="s">
        <v>278</v>
      </c>
      <c r="H115" s="116">
        <f t="shared" ref="H115:H121" si="20">SUM(J115:AO115)</f>
        <v>1241661.435220198</v>
      </c>
      <c r="I115" s="19"/>
      <c r="J115" s="116">
        <f t="shared" ref="J115:AO115" si="21">J44 * thousand * J73 / hundred</f>
        <v>802224.95548676979</v>
      </c>
      <c r="K115" s="116">
        <f t="shared" si="21"/>
        <v>0</v>
      </c>
      <c r="L115" s="116">
        <f t="shared" si="21"/>
        <v>1.2120021450346383</v>
      </c>
      <c r="M115" s="116">
        <f t="shared" si="21"/>
        <v>3234.5359117117359</v>
      </c>
      <c r="N115" s="116">
        <f t="shared" si="21"/>
        <v>12938.193367133272</v>
      </c>
      <c r="O115" s="116">
        <f t="shared" si="21"/>
        <v>12743.182706930133</v>
      </c>
      <c r="P115" s="116">
        <f t="shared" si="21"/>
        <v>42304.596997431843</v>
      </c>
      <c r="Q115" s="116">
        <f t="shared" si="21"/>
        <v>0</v>
      </c>
      <c r="R115" s="116">
        <f t="shared" si="21"/>
        <v>354.79616597659748</v>
      </c>
      <c r="S115" s="116">
        <f t="shared" si="21"/>
        <v>81589.325080414928</v>
      </c>
      <c r="T115" s="116">
        <f t="shared" si="21"/>
        <v>93688.624040688243</v>
      </c>
      <c r="U115" s="116">
        <f t="shared" si="21"/>
        <v>46787.859227318244</v>
      </c>
      <c r="V115" s="116">
        <f t="shared" si="21"/>
        <v>55527.162253066708</v>
      </c>
      <c r="W115" s="116">
        <f t="shared" si="21"/>
        <v>31.657930410557668</v>
      </c>
      <c r="X115" s="116">
        <f t="shared" si="21"/>
        <v>2020.9759918912769</v>
      </c>
      <c r="Y115" s="116">
        <f t="shared" si="21"/>
        <v>4959.3096674810022</v>
      </c>
      <c r="Z115" s="116">
        <f t="shared" si="21"/>
        <v>5078.2105694703059</v>
      </c>
      <c r="AA115" s="116">
        <f t="shared" si="21"/>
        <v>20966.360026038863</v>
      </c>
      <c r="AB115" s="116">
        <f t="shared" si="21"/>
        <v>163.81011755672176</v>
      </c>
      <c r="AC115" s="116">
        <f t="shared" si="21"/>
        <v>4963.8258325949646</v>
      </c>
      <c r="AD115" s="116">
        <f t="shared" si="21"/>
        <v>15272.016170461764</v>
      </c>
      <c r="AE115" s="116">
        <f t="shared" si="21"/>
        <v>10434.013873485679</v>
      </c>
      <c r="AF115" s="116">
        <f t="shared" si="21"/>
        <v>27839.051801220652</v>
      </c>
      <c r="AG115" s="116">
        <f t="shared" si="21"/>
        <v>0</v>
      </c>
      <c r="AH115" s="116">
        <f t="shared" si="21"/>
        <v>-648.33600000000001</v>
      </c>
      <c r="AI115" s="116">
        <f t="shared" si="21"/>
        <v>0</v>
      </c>
      <c r="AJ115" s="116">
        <f t="shared" si="21"/>
        <v>-813.90400000000034</v>
      </c>
      <c r="AK115" s="116">
        <f t="shared" si="21"/>
        <v>0</v>
      </c>
      <c r="AL115" s="116">
        <f t="shared" si="21"/>
        <v>0</v>
      </c>
      <c r="AM115" s="116">
        <f t="shared" si="21"/>
        <v>0</v>
      </c>
      <c r="AN115" s="116">
        <f t="shared" si="21"/>
        <v>0</v>
      </c>
      <c r="AO115" s="116">
        <f t="shared" si="21"/>
        <v>0</v>
      </c>
    </row>
    <row r="116" spans="3:43" x14ac:dyDescent="0.25">
      <c r="C116" s="78"/>
      <c r="F116" t="s">
        <v>158</v>
      </c>
      <c r="G116" s="12" t="s">
        <v>278</v>
      </c>
      <c r="H116" s="88">
        <f t="shared" si="20"/>
        <v>328223.45680170349</v>
      </c>
      <c r="J116" s="88">
        <f t="shared" ref="J116:AO116" si="22">J45 * thousand * J74 / hundred</f>
        <v>201673.84361040007</v>
      </c>
      <c r="K116" s="88">
        <f t="shared" si="22"/>
        <v>0</v>
      </c>
      <c r="L116" s="88">
        <f t="shared" si="22"/>
        <v>0.48456463920350773</v>
      </c>
      <c r="M116" s="88">
        <f t="shared" si="22"/>
        <v>1293.1839547236048</v>
      </c>
      <c r="N116" s="88">
        <f t="shared" si="22"/>
        <v>5172.755697318481</v>
      </c>
      <c r="O116" s="88">
        <f t="shared" si="22"/>
        <v>5094.7894407492968</v>
      </c>
      <c r="P116" s="88">
        <f t="shared" si="22"/>
        <v>16913.593647249269</v>
      </c>
      <c r="Q116" s="88">
        <f t="shared" si="22"/>
        <v>0</v>
      </c>
      <c r="R116" s="88">
        <f t="shared" si="22"/>
        <v>104.48817491037811</v>
      </c>
      <c r="S116" s="88">
        <f t="shared" si="22"/>
        <v>24028.218135774372</v>
      </c>
      <c r="T116" s="88">
        <f t="shared" si="22"/>
        <v>27591.485688494722</v>
      </c>
      <c r="U116" s="88">
        <f t="shared" si="22"/>
        <v>13779.117384680654</v>
      </c>
      <c r="V116" s="88">
        <f t="shared" si="22"/>
        <v>16352.859467365486</v>
      </c>
      <c r="W116" s="88">
        <f t="shared" si="22"/>
        <v>6.8327077900780191</v>
      </c>
      <c r="X116" s="88">
        <f t="shared" si="22"/>
        <v>436.18575896392389</v>
      </c>
      <c r="Y116" s="88">
        <f t="shared" si="22"/>
        <v>1070.3641507502371</v>
      </c>
      <c r="Z116" s="88">
        <f t="shared" si="22"/>
        <v>1096.0264448021155</v>
      </c>
      <c r="AA116" s="88">
        <f t="shared" si="22"/>
        <v>4525.1540331809274</v>
      </c>
      <c r="AB116" s="88">
        <f t="shared" si="22"/>
        <v>28.683984288315777</v>
      </c>
      <c r="AC116" s="88">
        <f t="shared" si="22"/>
        <v>869.19113615059746</v>
      </c>
      <c r="AD116" s="88">
        <f t="shared" si="22"/>
        <v>2674.2076644487101</v>
      </c>
      <c r="AE116" s="88">
        <f t="shared" si="22"/>
        <v>1827.0488689900285</v>
      </c>
      <c r="AF116" s="88">
        <f t="shared" si="22"/>
        <v>4874.759486033071</v>
      </c>
      <c r="AG116" s="88">
        <f t="shared" si="22"/>
        <v>0</v>
      </c>
      <c r="AH116" s="88">
        <f t="shared" si="22"/>
        <v>-850.24680000000012</v>
      </c>
      <c r="AI116" s="88">
        <f t="shared" si="22"/>
        <v>0</v>
      </c>
      <c r="AJ116" s="88">
        <f t="shared" si="22"/>
        <v>-339.57040000000006</v>
      </c>
      <c r="AK116" s="88">
        <f t="shared" si="22"/>
        <v>0</v>
      </c>
      <c r="AL116" s="88">
        <f t="shared" si="22"/>
        <v>0</v>
      </c>
      <c r="AM116" s="88">
        <f t="shared" si="22"/>
        <v>0</v>
      </c>
      <c r="AN116" s="88">
        <f t="shared" si="22"/>
        <v>0</v>
      </c>
      <c r="AO116" s="88">
        <f t="shared" si="22"/>
        <v>0</v>
      </c>
    </row>
    <row r="117" spans="3:43" x14ac:dyDescent="0.25">
      <c r="C117" s="78"/>
      <c r="F117" t="s">
        <v>159</v>
      </c>
      <c r="G117" s="12" t="s">
        <v>278</v>
      </c>
      <c r="H117" s="88">
        <f t="shared" si="20"/>
        <v>21834.545573630967</v>
      </c>
      <c r="J117" s="88">
        <f t="shared" ref="J117:AO117" si="23">J46 * thousand * J75 / hundred</f>
        <v>14085.847997701925</v>
      </c>
      <c r="K117" s="88">
        <f t="shared" si="23"/>
        <v>0</v>
      </c>
      <c r="L117" s="88">
        <f t="shared" si="23"/>
        <v>2.6067317805003348E-2</v>
      </c>
      <c r="M117" s="88">
        <f t="shared" si="23"/>
        <v>69.56726595552054</v>
      </c>
      <c r="N117" s="88">
        <f t="shared" si="23"/>
        <v>278.27013318859292</v>
      </c>
      <c r="O117" s="88">
        <f t="shared" si="23"/>
        <v>274.07591218353576</v>
      </c>
      <c r="P117" s="88">
        <f t="shared" si="23"/>
        <v>909.87246108638647</v>
      </c>
      <c r="Q117" s="88">
        <f t="shared" si="23"/>
        <v>0</v>
      </c>
      <c r="R117" s="88">
        <f t="shared" si="23"/>
        <v>6.7898099492882213</v>
      </c>
      <c r="S117" s="88">
        <f t="shared" si="23"/>
        <v>1561.3923269488002</v>
      </c>
      <c r="T117" s="88">
        <f t="shared" si="23"/>
        <v>1792.9391933974505</v>
      </c>
      <c r="U117" s="88">
        <f t="shared" si="23"/>
        <v>895.3892475503709</v>
      </c>
      <c r="V117" s="88">
        <f t="shared" si="23"/>
        <v>1062.6351547059335</v>
      </c>
      <c r="W117" s="88">
        <f t="shared" si="23"/>
        <v>0.45416103723815754</v>
      </c>
      <c r="X117" s="88">
        <f t="shared" si="23"/>
        <v>28.992689692837956</v>
      </c>
      <c r="Y117" s="88">
        <f t="shared" si="23"/>
        <v>71.145687458370986</v>
      </c>
      <c r="Z117" s="88">
        <f t="shared" si="23"/>
        <v>72.851426155617162</v>
      </c>
      <c r="AA117" s="88">
        <f t="shared" si="23"/>
        <v>300.78099525289593</v>
      </c>
      <c r="AB117" s="88">
        <f t="shared" si="23"/>
        <v>1.3122411453113889</v>
      </c>
      <c r="AC117" s="88">
        <f t="shared" si="23"/>
        <v>39.763944943359149</v>
      </c>
      <c r="AD117" s="88">
        <f t="shared" si="23"/>
        <v>122.34023325086399</v>
      </c>
      <c r="AE117" s="88">
        <f t="shared" si="23"/>
        <v>83.58422861638401</v>
      </c>
      <c r="AF117" s="88">
        <f t="shared" si="23"/>
        <v>223.01155609248167</v>
      </c>
      <c r="AG117" s="88">
        <f t="shared" si="23"/>
        <v>0</v>
      </c>
      <c r="AH117" s="88">
        <f t="shared" si="23"/>
        <v>-20.821380000000005</v>
      </c>
      <c r="AI117" s="88">
        <f t="shared" si="23"/>
        <v>0</v>
      </c>
      <c r="AJ117" s="88">
        <f t="shared" si="23"/>
        <v>-25.675779999999996</v>
      </c>
      <c r="AK117" s="88">
        <f t="shared" si="23"/>
        <v>0</v>
      </c>
      <c r="AL117" s="88">
        <f t="shared" si="23"/>
        <v>0</v>
      </c>
      <c r="AM117" s="88">
        <f t="shared" si="23"/>
        <v>0</v>
      </c>
      <c r="AN117" s="88">
        <f t="shared" si="23"/>
        <v>0</v>
      </c>
      <c r="AO117" s="88">
        <f t="shared" si="23"/>
        <v>0</v>
      </c>
    </row>
    <row r="118" spans="3:43" x14ac:dyDescent="0.25">
      <c r="C118" s="78"/>
      <c r="F118" s="19" t="s">
        <v>160</v>
      </c>
      <c r="G118" s="75" t="s">
        <v>278</v>
      </c>
      <c r="H118" s="116">
        <f t="shared" si="20"/>
        <v>3487222.6778007215</v>
      </c>
      <c r="I118" s="19"/>
      <c r="J118" s="116">
        <f t="shared" ref="J118:AO118" si="24" xml:space="preserve"> J47 * J76 * days_in_year / hundred</f>
        <v>2206896.0699957251</v>
      </c>
      <c r="K118" s="116">
        <f t="shared" si="24"/>
        <v>0</v>
      </c>
      <c r="L118" s="116">
        <f t="shared" si="24"/>
        <v>9.8241471163210825</v>
      </c>
      <c r="M118" s="116">
        <f t="shared" si="24"/>
        <v>18118.550726098962</v>
      </c>
      <c r="N118" s="116">
        <f t="shared" si="24"/>
        <v>34981.581585284002</v>
      </c>
      <c r="O118" s="116">
        <f t="shared" si="24"/>
        <v>30060.49434920045</v>
      </c>
      <c r="P118" s="116">
        <f t="shared" si="24"/>
        <v>92568.475984080374</v>
      </c>
      <c r="Q118" s="116">
        <f t="shared" si="24"/>
        <v>0</v>
      </c>
      <c r="R118" s="116">
        <f t="shared" si="24"/>
        <v>76.127465771096013</v>
      </c>
      <c r="S118" s="116">
        <f t="shared" si="24"/>
        <v>184677.70894690446</v>
      </c>
      <c r="T118" s="116">
        <f t="shared" si="24"/>
        <v>213127.64294955219</v>
      </c>
      <c r="U118" s="116">
        <f t="shared" si="24"/>
        <v>109045.12789021013</v>
      </c>
      <c r="V118" s="116">
        <f t="shared" si="24"/>
        <v>150861.52683486845</v>
      </c>
      <c r="W118" s="116">
        <f t="shared" si="24"/>
        <v>1.7759370606260092</v>
      </c>
      <c r="X118" s="116">
        <f t="shared" si="24"/>
        <v>3540.5050739704502</v>
      </c>
      <c r="Y118" s="116">
        <f t="shared" si="24"/>
        <v>8663.5510047311855</v>
      </c>
      <c r="Z118" s="116">
        <f t="shared" si="24"/>
        <v>8966.3845021124762</v>
      </c>
      <c r="AA118" s="116">
        <f t="shared" si="24"/>
        <v>36358.27412681323</v>
      </c>
      <c r="AB118" s="116">
        <f t="shared" si="24"/>
        <v>462.14049114489558</v>
      </c>
      <c r="AC118" s="116">
        <f t="shared" si="24"/>
        <v>33759.428634093711</v>
      </c>
      <c r="AD118" s="116">
        <f t="shared" si="24"/>
        <v>101957.19275776262</v>
      </c>
      <c r="AE118" s="116">
        <f t="shared" si="24"/>
        <v>69172.930718070304</v>
      </c>
      <c r="AF118" s="116">
        <f t="shared" si="24"/>
        <v>183917.36368015085</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161</v>
      </c>
      <c r="G119" s="12" t="s">
        <v>278</v>
      </c>
      <c r="H119" s="88">
        <f t="shared" si="20"/>
        <v>826822.78105907235</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1318.9374272893488</v>
      </c>
      <c r="S119" s="88">
        <f t="shared" si="25"/>
        <v>124981.82218420111</v>
      </c>
      <c r="T119" s="88">
        <f t="shared" si="25"/>
        <v>197322.9659258255</v>
      </c>
      <c r="U119" s="88">
        <f t="shared" si="25"/>
        <v>106278.60064179212</v>
      </c>
      <c r="V119" s="88">
        <f t="shared" si="25"/>
        <v>128938.23342050804</v>
      </c>
      <c r="W119" s="88">
        <f t="shared" si="25"/>
        <v>153.34122933810397</v>
      </c>
      <c r="X119" s="88">
        <f t="shared" si="25"/>
        <v>4268.6333556304262</v>
      </c>
      <c r="Y119" s="88">
        <f t="shared" si="25"/>
        <v>12181.054694207362</v>
      </c>
      <c r="Z119" s="88">
        <f t="shared" si="25"/>
        <v>12969.323234247617</v>
      </c>
      <c r="AA119" s="88">
        <f t="shared" si="25"/>
        <v>51997.559237232541</v>
      </c>
      <c r="AB119" s="88">
        <f t="shared" si="25"/>
        <v>3976.2952066433459</v>
      </c>
      <c r="AC119" s="88">
        <f t="shared" si="25"/>
        <v>15629.8159126968</v>
      </c>
      <c r="AD119" s="88">
        <f t="shared" si="25"/>
        <v>52738.931484709581</v>
      </c>
      <c r="AE119" s="88">
        <f t="shared" si="25"/>
        <v>32321.282066373704</v>
      </c>
      <c r="AF119" s="88">
        <f t="shared" si="25"/>
        <v>81745.985038376704</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162</v>
      </c>
      <c r="G120" s="12" t="s">
        <v>278</v>
      </c>
      <c r="H120" s="88">
        <f t="shared" si="20"/>
        <v>1916.1814999999999</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29.793492275306075</v>
      </c>
      <c r="S120" s="88">
        <f t="shared" si="26"/>
        <v>1612.5994650308573</v>
      </c>
      <c r="T120" s="88">
        <f t="shared" si="26"/>
        <v>212.61523186405901</v>
      </c>
      <c r="U120" s="88">
        <f t="shared" si="26"/>
        <v>50.985838012969225</v>
      </c>
      <c r="V120" s="88">
        <f t="shared" si="26"/>
        <v>10.187472816808251</v>
      </c>
      <c r="W120" s="88">
        <f t="shared" si="26"/>
        <v>0</v>
      </c>
      <c r="X120" s="88">
        <f t="shared" si="26"/>
        <v>0</v>
      </c>
      <c r="Y120" s="88">
        <f t="shared" si="26"/>
        <v>0</v>
      </c>
      <c r="Z120" s="88">
        <f t="shared" si="26"/>
        <v>0</v>
      </c>
      <c r="AA120" s="88">
        <f t="shared" si="26"/>
        <v>0</v>
      </c>
      <c r="AB120" s="88">
        <f t="shared" si="26"/>
        <v>0</v>
      </c>
      <c r="AC120" s="88">
        <f t="shared" si="26"/>
        <v>0</v>
      </c>
      <c r="AD120" s="88">
        <f t="shared" si="26"/>
        <v>0</v>
      </c>
      <c r="AE120" s="88">
        <f t="shared" si="26"/>
        <v>0</v>
      </c>
      <c r="AF120" s="88">
        <f t="shared" si="26"/>
        <v>0</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163</v>
      </c>
      <c r="G121" s="75" t="s">
        <v>278</v>
      </c>
      <c r="H121" s="116">
        <f t="shared" si="20"/>
        <v>1940.1335913584601</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7.6573334599387861</v>
      </c>
      <c r="S121" s="116">
        <f t="shared" si="27"/>
        <v>478.95270817777981</v>
      </c>
      <c r="T121" s="116">
        <f t="shared" si="27"/>
        <v>511.90930024095405</v>
      </c>
      <c r="U121" s="116">
        <f t="shared" si="27"/>
        <v>282.18114943104564</v>
      </c>
      <c r="V121" s="116">
        <f t="shared" si="27"/>
        <v>359.34910869028187</v>
      </c>
      <c r="W121" s="116">
        <f t="shared" si="27"/>
        <v>0.29893364098828201</v>
      </c>
      <c r="X121" s="116">
        <f t="shared" si="27"/>
        <v>6.602824808808605</v>
      </c>
      <c r="Y121" s="116">
        <f t="shared" si="27"/>
        <v>11.854563841562031</v>
      </c>
      <c r="Z121" s="116">
        <f t="shared" si="27"/>
        <v>11.781223097942608</v>
      </c>
      <c r="AA121" s="116">
        <f t="shared" si="27"/>
        <v>47.817354610698473</v>
      </c>
      <c r="AB121" s="116">
        <f t="shared" si="27"/>
        <v>5.3962068268729402</v>
      </c>
      <c r="AC121" s="116">
        <f t="shared" si="27"/>
        <v>22.370682966633197</v>
      </c>
      <c r="AD121" s="116">
        <f t="shared" si="27"/>
        <v>47.663856892526063</v>
      </c>
      <c r="AE121" s="116">
        <f t="shared" si="27"/>
        <v>42.006622996314427</v>
      </c>
      <c r="AF121" s="116">
        <f t="shared" si="27"/>
        <v>86.80013031765337</v>
      </c>
      <c r="AG121" s="116">
        <f t="shared" si="27"/>
        <v>0</v>
      </c>
      <c r="AH121" s="116">
        <f t="shared" si="27"/>
        <v>0</v>
      </c>
      <c r="AI121" s="116">
        <f t="shared" si="27"/>
        <v>0</v>
      </c>
      <c r="AJ121" s="116">
        <f t="shared" si="27"/>
        <v>17.491591358459903</v>
      </c>
      <c r="AK121" s="116">
        <f t="shared" si="27"/>
        <v>0</v>
      </c>
      <c r="AL121" s="116">
        <f t="shared" si="27"/>
        <v>0</v>
      </c>
      <c r="AM121" s="116">
        <f t="shared" si="27"/>
        <v>0</v>
      </c>
      <c r="AN121" s="116">
        <f t="shared" si="27"/>
        <v>0</v>
      </c>
      <c r="AO121" s="116">
        <f t="shared" si="27"/>
        <v>0</v>
      </c>
    </row>
    <row r="122" spans="3:43" x14ac:dyDescent="0.25">
      <c r="C122" s="78"/>
      <c r="F122" s="98" t="s">
        <v>101</v>
      </c>
      <c r="G122" s="204" t="s">
        <v>278</v>
      </c>
      <c r="H122" s="143">
        <f>SUM(H115:H121)</f>
        <v>5909621.2115466846</v>
      </c>
      <c r="I122" s="98"/>
      <c r="J122" s="143">
        <f t="shared" ref="J122" si="28">SUM(J115:J121)</f>
        <v>3224880.7170905969</v>
      </c>
      <c r="K122" s="143">
        <f t="shared" ref="K122:AO122" si="29">SUM(K115:K121)</f>
        <v>0</v>
      </c>
      <c r="L122" s="143">
        <f t="shared" si="29"/>
        <v>11.546781218364231</v>
      </c>
      <c r="M122" s="143">
        <f t="shared" si="29"/>
        <v>22715.837858489824</v>
      </c>
      <c r="N122" s="143">
        <f t="shared" si="29"/>
        <v>53370.800782924351</v>
      </c>
      <c r="O122" s="143">
        <f t="shared" si="29"/>
        <v>48172.542409063419</v>
      </c>
      <c r="P122" s="143">
        <f t="shared" si="29"/>
        <v>152696.53908984788</v>
      </c>
      <c r="Q122" s="143">
        <f t="shared" si="29"/>
        <v>0</v>
      </c>
      <c r="R122" s="143">
        <f t="shared" si="29"/>
        <v>1898.5898696319537</v>
      </c>
      <c r="S122" s="143">
        <f t="shared" si="29"/>
        <v>418930.01884745236</v>
      </c>
      <c r="T122" s="143">
        <f t="shared" si="29"/>
        <v>534248.18233006308</v>
      </c>
      <c r="U122" s="143">
        <f t="shared" si="29"/>
        <v>277119.26137899549</v>
      </c>
      <c r="V122" s="143">
        <f t="shared" si="29"/>
        <v>353111.9537120217</v>
      </c>
      <c r="W122" s="143">
        <f t="shared" si="29"/>
        <v>194.3608992775921</v>
      </c>
      <c r="X122" s="143">
        <f t="shared" si="29"/>
        <v>10301.895694957722</v>
      </c>
      <c r="Y122" s="143">
        <f t="shared" si="29"/>
        <v>26957.279768469718</v>
      </c>
      <c r="Z122" s="143">
        <f t="shared" si="29"/>
        <v>28194.577399886075</v>
      </c>
      <c r="AA122" s="143">
        <f t="shared" si="29"/>
        <v>114195.94577312916</v>
      </c>
      <c r="AB122" s="143">
        <f t="shared" si="29"/>
        <v>4637.6382476054632</v>
      </c>
      <c r="AC122" s="143">
        <f t="shared" si="29"/>
        <v>55284.396143446065</v>
      </c>
      <c r="AD122" s="143">
        <f t="shared" si="29"/>
        <v>172812.35216752606</v>
      </c>
      <c r="AE122" s="143">
        <f t="shared" si="29"/>
        <v>113880.86637853242</v>
      </c>
      <c r="AF122" s="143">
        <f t="shared" si="29"/>
        <v>298686.97169219138</v>
      </c>
      <c r="AG122" s="143">
        <f t="shared" si="29"/>
        <v>0</v>
      </c>
      <c r="AH122" s="143">
        <f t="shared" si="29"/>
        <v>-1519.4041800000002</v>
      </c>
      <c r="AI122" s="143">
        <f t="shared" si="29"/>
        <v>0</v>
      </c>
      <c r="AJ122" s="143">
        <f t="shared" si="29"/>
        <v>-1161.6585886415407</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278</v>
      </c>
      <c r="H126" s="205">
        <f>H83</f>
        <v>493596897.04489803</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t="s">
        <v>766</v>
      </c>
      <c r="G128" s="12" t="s">
        <v>278</v>
      </c>
      <c r="H128" s="375">
        <f>H85</f>
        <v>218682800.90458667</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t="s">
        <v>891</v>
      </c>
      <c r="G129" s="12" t="s">
        <v>278</v>
      </c>
      <c r="H129" s="375">
        <f>H86</f>
        <v>5644128.1912846956</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t="s">
        <v>892</v>
      </c>
      <c r="G130" s="12" t="s">
        <v>278</v>
      </c>
      <c r="H130" s="375">
        <f>H87</f>
        <v>17399.489280247562</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t="s">
        <v>1013</v>
      </c>
      <c r="G131" s="12" t="s">
        <v>278</v>
      </c>
      <c r="H131" s="375">
        <f>H88</f>
        <v>269252568.45974636</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278</v>
      </c>
      <c r="H132" s="206">
        <f>SUM(H102,H112,H122) - SUM(H128:H129, H131)</f>
        <v>-2214.7418038249016</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278</v>
      </c>
      <c r="H133" s="206">
        <f>SUM(H128:H132)</f>
        <v>493594682.30309415</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278</v>
      </c>
      <c r="H135" s="305">
        <f>H133 - H126</f>
        <v>-2214.7418038845062</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168</v>
      </c>
      <c r="H136" s="306">
        <f>(H133 - H126) / H126</f>
        <v>-4.4869443409062826E-6</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161.67030925631749</v>
      </c>
      <c r="K140" s="189">
        <f t="shared" si="30"/>
        <v>0</v>
      </c>
      <c r="L140" s="189">
        <f t="shared" si="30"/>
        <v>54.091115848070459</v>
      </c>
      <c r="M140" s="189">
        <f t="shared" si="30"/>
        <v>94.760016374516454</v>
      </c>
      <c r="N140" s="189">
        <f t="shared" si="30"/>
        <v>333.0250022218915</v>
      </c>
      <c r="O140" s="189">
        <f t="shared" si="30"/>
        <v>734.39649625654101</v>
      </c>
      <c r="P140" s="189">
        <f t="shared" si="30"/>
        <v>2290.8649813382035</v>
      </c>
      <c r="Q140" s="189">
        <f t="shared" si="30"/>
        <v>0</v>
      </c>
      <c r="R140" s="189">
        <f t="shared" si="30"/>
        <v>1189.9681332819246</v>
      </c>
      <c r="S140" s="189">
        <f t="shared" si="30"/>
        <v>4402.0997210404012</v>
      </c>
      <c r="T140" s="189">
        <f t="shared" si="30"/>
        <v>8227.2537322496701</v>
      </c>
      <c r="U140" s="189">
        <f t="shared" si="30"/>
        <v>12734.343843020213</v>
      </c>
      <c r="V140" s="189">
        <f t="shared" si="30"/>
        <v>25199.447694574286</v>
      </c>
      <c r="W140" s="189">
        <f t="shared" si="30"/>
        <v>2260.8431621079621</v>
      </c>
      <c r="X140" s="189">
        <f t="shared" si="30"/>
        <v>4316.6876935108439</v>
      </c>
      <c r="Y140" s="189">
        <f t="shared" si="30"/>
        <v>7846.7568687704461</v>
      </c>
      <c r="Z140" s="189">
        <f t="shared" si="30"/>
        <v>12115.490510217571</v>
      </c>
      <c r="AA140" s="189">
        <f t="shared" si="30"/>
        <v>25707.376606093556</v>
      </c>
      <c r="AB140" s="189">
        <f t="shared" si="30"/>
        <v>2956.6922052670798</v>
      </c>
      <c r="AC140" s="189">
        <f t="shared" si="30"/>
        <v>20675.974082915654</v>
      </c>
      <c r="AD140" s="189">
        <f t="shared" si="30"/>
        <v>50994.081279100094</v>
      </c>
      <c r="AE140" s="189">
        <f t="shared" si="30"/>
        <v>110159.7839993427</v>
      </c>
      <c r="AF140" s="189">
        <f t="shared" si="30"/>
        <v>274752.43785439816</v>
      </c>
      <c r="AG140" s="189">
        <f t="shared" si="30"/>
        <v>2012.6773902533489</v>
      </c>
      <c r="AH140" s="189">
        <f t="shared" si="30"/>
        <v>0</v>
      </c>
      <c r="AI140" s="189">
        <f t="shared" si="30"/>
        <v>0</v>
      </c>
      <c r="AJ140" s="189">
        <f t="shared" si="30"/>
        <v>0</v>
      </c>
      <c r="AK140" s="189">
        <f t="shared" si="30"/>
        <v>0</v>
      </c>
      <c r="AL140" s="189">
        <f t="shared" si="30"/>
        <v>0</v>
      </c>
      <c r="AM140" s="189">
        <f t="shared" si="30"/>
        <v>0</v>
      </c>
      <c r="AN140" s="189">
        <f t="shared" si="30"/>
        <v>-9685.8457436360277</v>
      </c>
      <c r="AO140" s="189">
        <f t="shared" si="30"/>
        <v>0</v>
      </c>
    </row>
    <row r="141" spans="3:43" x14ac:dyDescent="0.25">
      <c r="E141" t="s">
        <v>773</v>
      </c>
      <c r="G141" s="12" t="s">
        <v>771</v>
      </c>
      <c r="H141" t="s">
        <v>447</v>
      </c>
      <c r="J141" s="88">
        <f t="shared" ref="J141:AO141" si="31" xml:space="preserve"> IF( J36 &lt;&gt; 0, J112 / J36, 0)</f>
        <v>98.298431520525895</v>
      </c>
      <c r="K141" s="88">
        <f t="shared" si="31"/>
        <v>0</v>
      </c>
      <c r="L141" s="88">
        <f t="shared" si="31"/>
        <v>32.519433480330761</v>
      </c>
      <c r="M141" s="88">
        <f t="shared" si="31"/>
        <v>55.401611109575583</v>
      </c>
      <c r="N141" s="88">
        <f t="shared" si="31"/>
        <v>184.02514712414285</v>
      </c>
      <c r="O141" s="88">
        <f t="shared" si="31"/>
        <v>400.72196090413604</v>
      </c>
      <c r="P141" s="88">
        <f t="shared" si="31"/>
        <v>1241.0662660564938</v>
      </c>
      <c r="Q141" s="88">
        <f t="shared" si="31"/>
        <v>0</v>
      </c>
      <c r="R141" s="88">
        <f t="shared" si="31"/>
        <v>688.97329713616796</v>
      </c>
      <c r="S141" s="88">
        <f t="shared" si="31"/>
        <v>2521.8868583403164</v>
      </c>
      <c r="T141" s="88">
        <f t="shared" si="31"/>
        <v>4927.7831360796363</v>
      </c>
      <c r="U141" s="88">
        <f t="shared" si="31"/>
        <v>7687.1702779927518</v>
      </c>
      <c r="V141" s="88">
        <f t="shared" si="31"/>
        <v>15262.503159610847</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68.057393621652693</v>
      </c>
      <c r="K142" s="88">
        <f t="shared" si="32"/>
        <v>0</v>
      </c>
      <c r="L142" s="88">
        <f t="shared" si="32"/>
        <v>24.324392527434419</v>
      </c>
      <c r="M142" s="88">
        <f t="shared" si="32"/>
        <v>41.642765245175291</v>
      </c>
      <c r="N142" s="88">
        <f t="shared" si="32"/>
        <v>144.34180764985885</v>
      </c>
      <c r="O142" s="88">
        <f t="shared" si="32"/>
        <v>317.31898494305307</v>
      </c>
      <c r="P142" s="88">
        <f t="shared" si="32"/>
        <v>988.14448883262571</v>
      </c>
      <c r="Q142" s="88">
        <f t="shared" si="32"/>
        <v>0</v>
      </c>
      <c r="R142" s="88">
        <f t="shared" si="32"/>
        <v>692.73528259040995</v>
      </c>
      <c r="S142" s="88">
        <f t="shared" si="32"/>
        <v>2253.2648814211793</v>
      </c>
      <c r="T142" s="88">
        <f t="shared" si="32"/>
        <v>4475.9227672344432</v>
      </c>
      <c r="U142" s="88">
        <f t="shared" si="32"/>
        <v>6975.247162741628</v>
      </c>
      <c r="V142" s="88">
        <f t="shared" si="32"/>
        <v>13586.359858430034</v>
      </c>
      <c r="W142" s="88">
        <f t="shared" si="32"/>
        <v>3894.7430381362524</v>
      </c>
      <c r="X142" s="88">
        <f t="shared" si="32"/>
        <v>4820.1120212160686</v>
      </c>
      <c r="Y142" s="88">
        <f t="shared" si="32"/>
        <v>9293.1792770946431</v>
      </c>
      <c r="Z142" s="88">
        <f t="shared" si="32"/>
        <v>14454.901260732233</v>
      </c>
      <c r="AA142" s="88">
        <f t="shared" si="32"/>
        <v>30572.714021364631</v>
      </c>
      <c r="AB142" s="88">
        <f t="shared" si="32"/>
        <v>3647.071008581961</v>
      </c>
      <c r="AC142" s="88">
        <f t="shared" si="32"/>
        <v>19295.531428255897</v>
      </c>
      <c r="AD142" s="88">
        <f t="shared" si="32"/>
        <v>48523.292801072908</v>
      </c>
      <c r="AE142" s="88">
        <f t="shared" si="32"/>
        <v>103764.90593033157</v>
      </c>
      <c r="AF142" s="88">
        <f t="shared" si="32"/>
        <v>257899.52366197843</v>
      </c>
      <c r="AG142" s="88">
        <f t="shared" si="32"/>
        <v>0</v>
      </c>
      <c r="AH142" s="88">
        <f t="shared" si="32"/>
        <v>0</v>
      </c>
      <c r="AI142" s="88">
        <f t="shared" si="32"/>
        <v>0</v>
      </c>
      <c r="AJ142" s="88">
        <f t="shared" si="32"/>
        <v>0</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25">
      <c r="E146" t="s">
        <v>775</v>
      </c>
      <c r="G146" s="12" t="s">
        <v>270</v>
      </c>
      <c r="H146" s="256" t="s">
        <v>772</v>
      </c>
      <c r="I146" s="256"/>
      <c r="J146" s="264">
        <f t="shared" ref="J146:AO146" si="33" xml:space="preserve"> IF( SUM(J$22:J$24) &lt;&gt; 0, J$102 / SUM(J$22:J$24) * hundred / thousand, 0)</f>
        <v>4.7853675803122773</v>
      </c>
      <c r="K146" s="264">
        <f t="shared" si="33"/>
        <v>0.15053489645985793</v>
      </c>
      <c r="L146" s="264">
        <f t="shared" si="33"/>
        <v>9.9657555477548652</v>
      </c>
      <c r="M146" s="264">
        <f t="shared" si="33"/>
        <v>7.517459431722167</v>
      </c>
      <c r="N146" s="264">
        <f t="shared" si="33"/>
        <v>4.4769632084376498</v>
      </c>
      <c r="O146" s="264">
        <f t="shared" si="33"/>
        <v>4.1155221320874471</v>
      </c>
      <c r="P146" s="264">
        <f t="shared" si="33"/>
        <v>3.9363111115379894</v>
      </c>
      <c r="Q146" s="264">
        <f t="shared" si="33"/>
        <v>0.18584433424947486</v>
      </c>
      <c r="R146" s="264">
        <f t="shared" si="33"/>
        <v>4.2190230872788632</v>
      </c>
      <c r="S146" s="264">
        <f t="shared" si="33"/>
        <v>4.6041281833918433</v>
      </c>
      <c r="T146" s="264">
        <f t="shared" si="33"/>
        <v>4.810831400353516</v>
      </c>
      <c r="U146" s="264">
        <f t="shared" si="33"/>
        <v>4.9629756735210888</v>
      </c>
      <c r="V146" s="264">
        <f t="shared" si="33"/>
        <v>5.4136040278982511</v>
      </c>
      <c r="W146" s="264">
        <f t="shared" si="33"/>
        <v>2.8934497145257954</v>
      </c>
      <c r="X146" s="264">
        <f t="shared" si="33"/>
        <v>3.7063585051740673</v>
      </c>
      <c r="Y146" s="264">
        <f t="shared" si="33"/>
        <v>3.7263071765999887</v>
      </c>
      <c r="Z146" s="264">
        <f t="shared" si="33"/>
        <v>3.7781455965294763</v>
      </c>
      <c r="AA146" s="264">
        <f t="shared" si="33"/>
        <v>3.7183421182848675</v>
      </c>
      <c r="AB146" s="264">
        <f t="shared" si="33"/>
        <v>6.8435832203921665</v>
      </c>
      <c r="AC146" s="264">
        <f t="shared" si="33"/>
        <v>3.558449269581935</v>
      </c>
      <c r="AD146" s="264">
        <f t="shared" si="33"/>
        <v>3.5457933567769886</v>
      </c>
      <c r="AE146" s="264">
        <f t="shared" si="33"/>
        <v>3.4549155809901042</v>
      </c>
      <c r="AF146" s="264">
        <f t="shared" si="33"/>
        <v>3.4081473541871539</v>
      </c>
      <c r="AG146" s="264">
        <f t="shared" si="33"/>
        <v>5.0696266757790909</v>
      </c>
      <c r="AH146" s="264">
        <f t="shared" si="33"/>
        <v>-1.0186544144838419</v>
      </c>
      <c r="AI146" s="264">
        <f t="shared" si="33"/>
        <v>0</v>
      </c>
      <c r="AJ146" s="264">
        <f t="shared" si="33"/>
        <v>-0.81615195827293174</v>
      </c>
      <c r="AK146" s="264">
        <f t="shared" si="33"/>
        <v>0</v>
      </c>
      <c r="AL146" s="264">
        <f t="shared" si="33"/>
        <v>-0.71874451039347942</v>
      </c>
      <c r="AM146" s="264">
        <f t="shared" si="33"/>
        <v>0</v>
      </c>
      <c r="AN146" s="264">
        <f t="shared" si="33"/>
        <v>-0.47199750092896342</v>
      </c>
      <c r="AO146" s="264">
        <f t="shared" si="33"/>
        <v>0</v>
      </c>
      <c r="AP146" s="256"/>
      <c r="AQ146" s="256"/>
    </row>
    <row r="147" spans="2:43" x14ac:dyDescent="0.25">
      <c r="E147" t="s">
        <v>776</v>
      </c>
      <c r="G147" s="12" t="s">
        <v>270</v>
      </c>
      <c r="H147" s="256" t="s">
        <v>447</v>
      </c>
      <c r="I147" s="256"/>
      <c r="J147" s="271">
        <f t="shared" ref="J147:AO147" si="34" xml:space="preserve"> IF( SUM(J$33:J$35) &lt;&gt; 0, J$112 / SUM(J$33:J$35) * hundred / thousand, 0)</f>
        <v>3.2819320940277947</v>
      </c>
      <c r="K147" s="271">
        <f t="shared" si="34"/>
        <v>0</v>
      </c>
      <c r="L147" s="271">
        <f t="shared" si="34"/>
        <v>8.3935136768630887</v>
      </c>
      <c r="M147" s="271">
        <f t="shared" si="34"/>
        <v>6.157223273085938</v>
      </c>
      <c r="N147" s="271">
        <f t="shared" si="34"/>
        <v>3.4657752895531475</v>
      </c>
      <c r="O147" s="271">
        <f t="shared" si="34"/>
        <v>3.1459660459574215</v>
      </c>
      <c r="P147" s="271">
        <f t="shared" si="34"/>
        <v>2.9874554348681248</v>
      </c>
      <c r="Q147" s="271">
        <f t="shared" si="34"/>
        <v>0</v>
      </c>
      <c r="R147" s="271">
        <f t="shared" si="34"/>
        <v>4.2560314979682197</v>
      </c>
      <c r="S147" s="271">
        <f t="shared" si="34"/>
        <v>4.5955659313848285</v>
      </c>
      <c r="T147" s="271">
        <f t="shared" si="34"/>
        <v>5.0204506840003669</v>
      </c>
      <c r="U147" s="271">
        <f t="shared" si="34"/>
        <v>5.2198491007982382</v>
      </c>
      <c r="V147" s="271">
        <f t="shared" si="34"/>
        <v>5.7127747950860854</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0</v>
      </c>
      <c r="AH147" s="271">
        <f t="shared" si="34"/>
        <v>-0.5047459978126928</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2:43" x14ac:dyDescent="0.25">
      <c r="E148" t="s">
        <v>777</v>
      </c>
      <c r="G148" s="12" t="s">
        <v>270</v>
      </c>
      <c r="H148" s="256" t="s">
        <v>448</v>
      </c>
      <c r="I148" s="256"/>
      <c r="J148" s="271">
        <f t="shared" ref="J148:AO148" si="35" xml:space="preserve"> IF( SUM(J$44:J$46) &lt;&gt; 0, J$122 / SUM(J$44:J$46) * hundred / thousand, 0)</f>
        <v>2.2907283014770394</v>
      </c>
      <c r="K148" s="271">
        <f t="shared" si="35"/>
        <v>0</v>
      </c>
      <c r="L148" s="271">
        <f t="shared" si="35"/>
        <v>4.2778778689075709</v>
      </c>
      <c r="M148" s="271">
        <f t="shared" si="35"/>
        <v>3.1534620992657265</v>
      </c>
      <c r="N148" s="271">
        <f t="shared" si="35"/>
        <v>1.8522555909307077</v>
      </c>
      <c r="O148" s="271">
        <f t="shared" si="35"/>
        <v>1.6974324121937943</v>
      </c>
      <c r="P148" s="271">
        <f t="shared" si="35"/>
        <v>1.620736692509174</v>
      </c>
      <c r="Q148" s="271">
        <f t="shared" si="35"/>
        <v>0</v>
      </c>
      <c r="R148" s="271">
        <f t="shared" si="35"/>
        <v>1.7825939747168138</v>
      </c>
      <c r="S148" s="271">
        <f t="shared" si="35"/>
        <v>1.7104419276464076</v>
      </c>
      <c r="T148" s="271">
        <f t="shared" si="35"/>
        <v>1.8995747389257884</v>
      </c>
      <c r="U148" s="271">
        <f t="shared" si="35"/>
        <v>1.9730301932137408</v>
      </c>
      <c r="V148" s="271">
        <f t="shared" si="35"/>
        <v>2.1183959313436151</v>
      </c>
      <c r="W148" s="271">
        <f t="shared" si="35"/>
        <v>2.3910777456608097</v>
      </c>
      <c r="X148" s="271">
        <f t="shared" si="35"/>
        <v>1.9852870592969312</v>
      </c>
      <c r="Y148" s="271">
        <f t="shared" si="35"/>
        <v>2.1170063288051426</v>
      </c>
      <c r="Z148" s="271">
        <f t="shared" si="35"/>
        <v>2.1623311370280955</v>
      </c>
      <c r="AA148" s="271">
        <f t="shared" si="35"/>
        <v>2.1212651855436455</v>
      </c>
      <c r="AB148" s="271">
        <f t="shared" si="35"/>
        <v>8.831014776612804</v>
      </c>
      <c r="AC148" s="271">
        <f t="shared" si="35"/>
        <v>3.4740854774714762</v>
      </c>
      <c r="AD148" s="271">
        <f t="shared" si="35"/>
        <v>3.5296599778310438</v>
      </c>
      <c r="AE148" s="271">
        <f t="shared" si="35"/>
        <v>3.4045037509135847</v>
      </c>
      <c r="AF148" s="271">
        <f t="shared" si="35"/>
        <v>3.3466963105255227</v>
      </c>
      <c r="AG148" s="271">
        <f t="shared" si="35"/>
        <v>0</v>
      </c>
      <c r="AH148" s="271">
        <f t="shared" si="35"/>
        <v>-0.6722521668724033</v>
      </c>
      <c r="AI148" s="271">
        <f t="shared" si="35"/>
        <v>0</v>
      </c>
      <c r="AJ148" s="271">
        <f t="shared" si="35"/>
        <v>-0.81507317371461319</v>
      </c>
      <c r="AK148" s="271">
        <f t="shared" si="35"/>
        <v>0</v>
      </c>
      <c r="AL148" s="271">
        <f t="shared" si="35"/>
        <v>0</v>
      </c>
      <c r="AM148" s="271">
        <f t="shared" si="35"/>
        <v>0</v>
      </c>
      <c r="AN148" s="271">
        <f t="shared" si="35"/>
        <v>0</v>
      </c>
      <c r="AO148" s="271">
        <f t="shared" si="35"/>
        <v>0</v>
      </c>
      <c r="AP148" s="256"/>
      <c r="AQ148" s="256"/>
    </row>
    <row r="149" spans="2: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25">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25">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25">
      <c r="F155" s="19" t="s">
        <v>157</v>
      </c>
      <c r="G155" s="19" t="s">
        <v>270</v>
      </c>
      <c r="H155" s="371"/>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25">
      <c r="E156" s="23"/>
      <c r="F156" t="s">
        <v>158</v>
      </c>
      <c r="G156" t="s">
        <v>270</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25">
      <c r="E157" s="23"/>
      <c r="F157" t="s">
        <v>159</v>
      </c>
      <c r="G157" t="s">
        <v>270</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25">
      <c r="E158" s="23"/>
      <c r="F158" t="s">
        <v>160</v>
      </c>
      <c r="G158" t="s">
        <v>271</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25">
      <c r="E159" s="23"/>
      <c r="F159" t="s">
        <v>161</v>
      </c>
      <c r="G159" t="s">
        <v>272</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25">
      <c r="E160" s="23"/>
      <c r="F160" t="s">
        <v>162</v>
      </c>
      <c r="G160" t="s">
        <v>272</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25">
      <c r="E161" s="23"/>
      <c r="F161" s="28" t="s">
        <v>163</v>
      </c>
      <c r="G161" s="28" t="s">
        <v>273</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25">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25">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25">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25">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25">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25">
      <c r="E168" s="98" t="s">
        <v>782</v>
      </c>
      <c r="F168" s="98"/>
      <c r="G168" s="98" t="s">
        <v>278</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25">
      <c r="E170" t="s">
        <v>783</v>
      </c>
      <c r="G170" t="s">
        <v>278</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25">
      <c r="F171" s="3"/>
      <c r="G171" s="202"/>
      <c r="H171" s="3"/>
      <c r="I171" s="3"/>
    </row>
    <row r="172" spans="2:43" x14ac:dyDescent="0.25">
      <c r="E172" t="s">
        <v>784</v>
      </c>
      <c r="G172" s="12" t="s">
        <v>168</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25">
      <c r="C173" s="78"/>
      <c r="D173" s="2"/>
      <c r="E173" s="2"/>
      <c r="G173" s="12"/>
    </row>
    <row r="174" spans="2:43" x14ac:dyDescent="0.25">
      <c r="E174" t="s">
        <v>785</v>
      </c>
      <c r="G174" s="12" t="s">
        <v>270</v>
      </c>
      <c r="H174" s="256"/>
      <c r="I174" s="256"/>
      <c r="J174" s="264">
        <f t="shared" ref="J174:AO174" si="39" xml:space="preserve"> IF( SUM(J22:J24) = 0, "-", (J102 - J170) / SUM(J22:J24)/ ten)</f>
        <v>4.7853675803122773</v>
      </c>
      <c r="K174" s="264">
        <f t="shared" si="39"/>
        <v>0.1505348964598579</v>
      </c>
      <c r="L174" s="264">
        <f t="shared" si="39"/>
        <v>9.9657555477548652</v>
      </c>
      <c r="M174" s="264">
        <f t="shared" si="39"/>
        <v>7.5174594317221679</v>
      </c>
      <c r="N174" s="264">
        <f t="shared" si="39"/>
        <v>4.4769632084376498</v>
      </c>
      <c r="O174" s="264">
        <f t="shared" si="39"/>
        <v>4.1155221320874471</v>
      </c>
      <c r="P174" s="264">
        <f t="shared" si="39"/>
        <v>3.9363111115379894</v>
      </c>
      <c r="Q174" s="264">
        <f t="shared" si="39"/>
        <v>0.18584433424947483</v>
      </c>
      <c r="R174" s="264">
        <f t="shared" si="39"/>
        <v>4.2190230872788632</v>
      </c>
      <c r="S174" s="264">
        <f t="shared" si="39"/>
        <v>4.6041281833918433</v>
      </c>
      <c r="T174" s="264">
        <f t="shared" si="39"/>
        <v>4.810831400353516</v>
      </c>
      <c r="U174" s="264">
        <f t="shared" si="39"/>
        <v>4.9629756735210888</v>
      </c>
      <c r="V174" s="264">
        <f t="shared" si="39"/>
        <v>5.4136040278982511</v>
      </c>
      <c r="W174" s="264">
        <f t="shared" si="39"/>
        <v>2.8934497145257954</v>
      </c>
      <c r="X174" s="264">
        <f t="shared" si="39"/>
        <v>3.7063585051740673</v>
      </c>
      <c r="Y174" s="264">
        <f t="shared" si="39"/>
        <v>3.7263071765999882</v>
      </c>
      <c r="Z174" s="264">
        <f t="shared" si="39"/>
        <v>3.7781455965294759</v>
      </c>
      <c r="AA174" s="264">
        <f t="shared" si="39"/>
        <v>3.7183421182848675</v>
      </c>
      <c r="AB174" s="264">
        <f t="shared" si="39"/>
        <v>6.8435832203921665</v>
      </c>
      <c r="AC174" s="264">
        <f t="shared" si="39"/>
        <v>3.558449269581935</v>
      </c>
      <c r="AD174" s="264">
        <f t="shared" si="39"/>
        <v>3.5457933567769886</v>
      </c>
      <c r="AE174" s="264">
        <f t="shared" si="39"/>
        <v>3.4549155809901038</v>
      </c>
      <c r="AF174" s="264">
        <f t="shared" si="39"/>
        <v>3.4081473541871539</v>
      </c>
      <c r="AG174" s="264">
        <f t="shared" si="39"/>
        <v>5.0696266757790909</v>
      </c>
      <c r="AH174" s="264">
        <f t="shared" si="39"/>
        <v>-1.0186544144838419</v>
      </c>
      <c r="AI174" s="264" t="str">
        <f t="shared" si="39"/>
        <v>-</v>
      </c>
      <c r="AJ174" s="264">
        <f t="shared" si="39"/>
        <v>-0.81615195827293174</v>
      </c>
      <c r="AK174" s="264" t="str">
        <f t="shared" si="39"/>
        <v>-</v>
      </c>
      <c r="AL174" s="264">
        <f t="shared" si="39"/>
        <v>-0.71874451039347942</v>
      </c>
      <c r="AM174" s="264" t="str">
        <f t="shared" si="39"/>
        <v>-</v>
      </c>
      <c r="AN174" s="264">
        <f t="shared" si="39"/>
        <v>-0.47199750092896336</v>
      </c>
      <c r="AO174" s="264" t="str">
        <f t="shared" si="39"/>
        <v>-</v>
      </c>
      <c r="AP174" s="256"/>
      <c r="AQ174" s="256"/>
    </row>
    <row r="175" spans="2:43" x14ac:dyDescent="0.25">
      <c r="C175" s="78"/>
      <c r="D175" s="2"/>
      <c r="E175" s="2"/>
      <c r="G175" s="12"/>
    </row>
    <row r="176" spans="2: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157</v>
      </c>
      <c r="G182" s="75" t="s">
        <v>789</v>
      </c>
      <c r="H182" s="208"/>
      <c r="I182" s="19"/>
      <c r="J182" s="116">
        <f t="shared" ref="J182:AO182" si="40" xml:space="preserve"> IF( J$25 &lt;&gt; 0, J$22 * thousand * J64 / hundred / J$25, 0)</f>
        <v>25.795602966011959</v>
      </c>
      <c r="K182" s="116">
        <f t="shared" si="40"/>
        <v>0</v>
      </c>
      <c r="L182" s="116">
        <f t="shared" si="40"/>
        <v>3.4069388079998495</v>
      </c>
      <c r="M182" s="116">
        <f t="shared" si="40"/>
        <v>7.9122983834408833</v>
      </c>
      <c r="N182" s="116">
        <f t="shared" si="40"/>
        <v>46.691941982557324</v>
      </c>
      <c r="O182" s="116">
        <f t="shared" si="40"/>
        <v>112.00935010492194</v>
      </c>
      <c r="P182" s="116">
        <f t="shared" si="40"/>
        <v>365.30759377039402</v>
      </c>
      <c r="Q182" s="116">
        <f t="shared" si="40"/>
        <v>0</v>
      </c>
      <c r="R182" s="116">
        <f t="shared" si="40"/>
        <v>128.99254985773783</v>
      </c>
      <c r="S182" s="116">
        <f t="shared" si="40"/>
        <v>437.27401324623202</v>
      </c>
      <c r="T182" s="116">
        <f t="shared" si="40"/>
        <v>782.12461229882194</v>
      </c>
      <c r="U182" s="116">
        <f t="shared" si="40"/>
        <v>1173.4798158141921</v>
      </c>
      <c r="V182" s="116">
        <f t="shared" si="40"/>
        <v>2128.8532946406958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321.19714584917767</v>
      </c>
      <c r="AH182" s="116">
        <f t="shared" si="40"/>
        <v>0</v>
      </c>
      <c r="AI182" s="116">
        <f t="shared" si="40"/>
        <v>0</v>
      </c>
      <c r="AJ182" s="116">
        <f t="shared" si="40"/>
        <v>0</v>
      </c>
      <c r="AK182" s="116">
        <f t="shared" si="40"/>
        <v>0</v>
      </c>
      <c r="AL182" s="116">
        <f t="shared" si="40"/>
        <v>0</v>
      </c>
      <c r="AM182" s="116">
        <f t="shared" si="40"/>
        <v>0</v>
      </c>
      <c r="AN182" s="116">
        <f t="shared" si="40"/>
        <v>0</v>
      </c>
      <c r="AO182" s="116">
        <f t="shared" si="40"/>
        <v>0</v>
      </c>
    </row>
    <row r="183" spans="3:43" x14ac:dyDescent="0.25">
      <c r="E183" s="23"/>
      <c r="F183" t="s">
        <v>158</v>
      </c>
      <c r="G183" s="12" t="s">
        <v>789</v>
      </c>
      <c r="H183" s="92"/>
      <c r="J183" s="88">
        <f t="shared" ref="J183:AO183" si="41" xml:space="preserve"> IF( J$25 &lt;&gt; 0, J$23 * thousand * J65 / hundred / J$25, 0)</f>
        <v>6.7503351312628155</v>
      </c>
      <c r="K183" s="88">
        <f t="shared" si="41"/>
        <v>0</v>
      </c>
      <c r="L183" s="88">
        <f t="shared" si="41"/>
        <v>1.358424956196719</v>
      </c>
      <c r="M183" s="88">
        <f t="shared" si="41"/>
        <v>3.1548155663092636</v>
      </c>
      <c r="N183" s="88">
        <f t="shared" si="41"/>
        <v>18.617152469384166</v>
      </c>
      <c r="O183" s="88">
        <f t="shared" si="41"/>
        <v>44.660707187526398</v>
      </c>
      <c r="P183" s="88">
        <f t="shared" si="41"/>
        <v>145.65654977443265</v>
      </c>
      <c r="Q183" s="88">
        <f t="shared" si="41"/>
        <v>0</v>
      </c>
      <c r="R183" s="88">
        <f t="shared" si="41"/>
        <v>42.269737280175569</v>
      </c>
      <c r="S183" s="88">
        <f t="shared" si="41"/>
        <v>143.29089299925545</v>
      </c>
      <c r="T183" s="88">
        <f t="shared" si="41"/>
        <v>256.29543658677585</v>
      </c>
      <c r="U183" s="88">
        <f t="shared" si="41"/>
        <v>384.53913480088647</v>
      </c>
      <c r="V183" s="88">
        <f t="shared" si="41"/>
        <v>697.60671892866242</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303.4332262226776</v>
      </c>
      <c r="AH183" s="88">
        <f t="shared" si="41"/>
        <v>0</v>
      </c>
      <c r="AI183" s="88">
        <f t="shared" si="41"/>
        <v>0</v>
      </c>
      <c r="AJ183" s="88">
        <f t="shared" si="41"/>
        <v>0</v>
      </c>
      <c r="AK183" s="88">
        <f t="shared" si="41"/>
        <v>0</v>
      </c>
      <c r="AL183" s="88">
        <f t="shared" si="41"/>
        <v>0</v>
      </c>
      <c r="AM183" s="88">
        <f t="shared" si="41"/>
        <v>0</v>
      </c>
      <c r="AN183" s="88">
        <f t="shared" si="41"/>
        <v>0</v>
      </c>
      <c r="AO183" s="88">
        <f t="shared" si="41"/>
        <v>0</v>
      </c>
    </row>
    <row r="184" spans="3:43" x14ac:dyDescent="0.25">
      <c r="E184" s="23"/>
      <c r="F184" t="s">
        <v>159</v>
      </c>
      <c r="G184" s="12" t="s">
        <v>789</v>
      </c>
      <c r="H184" s="92"/>
      <c r="J184" s="88">
        <f t="shared" ref="J184:AO184" si="42" xml:space="preserve"> IF( J$25 &lt;&gt; 0, J$24 * thousand * J66 / hundred / J$25, 0)</f>
        <v>0.54060799368399637</v>
      </c>
      <c r="K184" s="88">
        <f t="shared" si="42"/>
        <v>0</v>
      </c>
      <c r="L184" s="88">
        <f t="shared" si="42"/>
        <v>8.1882973301295583E-2</v>
      </c>
      <c r="M184" s="88">
        <f t="shared" si="42"/>
        <v>0.19016558670260764</v>
      </c>
      <c r="N184" s="88">
        <f t="shared" si="42"/>
        <v>1.1222024386719043</v>
      </c>
      <c r="O184" s="88">
        <f t="shared" si="42"/>
        <v>2.6920526434465959</v>
      </c>
      <c r="P184" s="88">
        <f t="shared" si="42"/>
        <v>8.7798676856843123</v>
      </c>
      <c r="Q184" s="88">
        <f t="shared" si="42"/>
        <v>0</v>
      </c>
      <c r="R184" s="88">
        <f t="shared" si="42"/>
        <v>2.474606389447783</v>
      </c>
      <c r="S184" s="88">
        <f t="shared" si="42"/>
        <v>8.3887098000000488</v>
      </c>
      <c r="T184" s="88">
        <f t="shared" si="42"/>
        <v>15.004359283335257</v>
      </c>
      <c r="U184" s="88">
        <f t="shared" si="42"/>
        <v>22.512157898300607</v>
      </c>
      <c r="V184" s="88">
        <f t="shared" si="42"/>
        <v>40.840141317656219</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602.0954787375905</v>
      </c>
      <c r="AH184" s="88">
        <f t="shared" si="42"/>
        <v>0</v>
      </c>
      <c r="AI184" s="88">
        <f t="shared" si="42"/>
        <v>0</v>
      </c>
      <c r="AJ184" s="88">
        <f t="shared" si="42"/>
        <v>0</v>
      </c>
      <c r="AK184" s="88">
        <f t="shared" si="42"/>
        <v>0</v>
      </c>
      <c r="AL184" s="88">
        <f t="shared" si="42"/>
        <v>0</v>
      </c>
      <c r="AM184" s="88">
        <f t="shared" si="42"/>
        <v>0</v>
      </c>
      <c r="AN184" s="88">
        <f t="shared" si="42"/>
        <v>0</v>
      </c>
      <c r="AO184" s="88">
        <f t="shared" si="42"/>
        <v>0</v>
      </c>
    </row>
    <row r="185" spans="3:43" x14ac:dyDescent="0.25">
      <c r="E185" s="23"/>
      <c r="F185" s="19" t="s">
        <v>160</v>
      </c>
      <c r="G185" s="75" t="s">
        <v>789</v>
      </c>
      <c r="H185" s="208"/>
      <c r="I185" s="19"/>
      <c r="J185" s="116">
        <f t="shared" ref="J185:AO185" si="43" xml:space="preserve"> IF( J$25 &lt;&gt; 0, J$25 * J67 * days_in_year / hundred / J$25, 0)</f>
        <v>66.758499999999984</v>
      </c>
      <c r="K185" s="116">
        <f t="shared" si="43"/>
        <v>0</v>
      </c>
      <c r="L185" s="116">
        <f t="shared" si="43"/>
        <v>29.127000000000002</v>
      </c>
      <c r="M185" s="116">
        <f t="shared" si="43"/>
        <v>47.523000000000003</v>
      </c>
      <c r="N185" s="116">
        <f t="shared" si="43"/>
        <v>137.53199999999998</v>
      </c>
      <c r="O185" s="116">
        <f t="shared" si="43"/>
        <v>289.18950000000001</v>
      </c>
      <c r="P185" s="116">
        <f t="shared" si="43"/>
        <v>877.31400000000008</v>
      </c>
      <c r="Q185" s="116">
        <f t="shared" si="43"/>
        <v>0</v>
      </c>
      <c r="R185" s="116">
        <f t="shared" si="43"/>
        <v>39.492999999999995</v>
      </c>
      <c r="S185" s="116">
        <f t="shared" si="43"/>
        <v>1455.5470000000003</v>
      </c>
      <c r="T185" s="116">
        <f t="shared" si="43"/>
        <v>2617.4515000000001</v>
      </c>
      <c r="U185" s="116">
        <f t="shared" si="43"/>
        <v>4024.1249999999995</v>
      </c>
      <c r="V185" s="116">
        <f t="shared" si="43"/>
        <v>8511.6174999999985</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161</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381.09029592986701</v>
      </c>
      <c r="S186" s="88">
        <f t="shared" si="44"/>
        <v>532.33518013492892</v>
      </c>
      <c r="T186" s="88">
        <f t="shared" si="44"/>
        <v>1309.1358461298978</v>
      </c>
      <c r="U186" s="88">
        <f t="shared" si="44"/>
        <v>2118.3916941512775</v>
      </c>
      <c r="V186" s="88">
        <f t="shared" si="44"/>
        <v>3928.6194145702452</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162</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123.86977070124003</v>
      </c>
      <c r="S187" s="88">
        <f t="shared" si="45"/>
        <v>98.833699214988059</v>
      </c>
      <c r="T187" s="88">
        <f t="shared" si="45"/>
        <v>20.297459236153312</v>
      </c>
      <c r="U187" s="88">
        <f t="shared" si="45"/>
        <v>14.623462737634393</v>
      </c>
      <c r="V187" s="88">
        <f t="shared" si="45"/>
        <v>4.4664752240365697</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163</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7.2554577612569249</v>
      </c>
      <c r="S188" s="116">
        <f t="shared" si="46"/>
        <v>6.6898211852947416</v>
      </c>
      <c r="T188" s="116">
        <f t="shared" si="46"/>
        <v>11.137395961506975</v>
      </c>
      <c r="U188" s="116">
        <f t="shared" si="46"/>
        <v>18.444716994370555</v>
      </c>
      <c r="V188" s="116">
        <f t="shared" si="46"/>
        <v>35.905284744376821</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0</v>
      </c>
      <c r="AK188" s="116">
        <f t="shared" si="46"/>
        <v>0</v>
      </c>
      <c r="AL188" s="116">
        <f t="shared" si="46"/>
        <v>0</v>
      </c>
      <c r="AM188" s="116">
        <f t="shared" si="46"/>
        <v>0</v>
      </c>
      <c r="AN188" s="116">
        <f t="shared" si="46"/>
        <v>0</v>
      </c>
      <c r="AO188" s="116">
        <f t="shared" si="46"/>
        <v>0</v>
      </c>
    </row>
    <row r="189" spans="3:43" x14ac:dyDescent="0.25">
      <c r="E189" s="23"/>
      <c r="F189" s="98" t="s">
        <v>101</v>
      </c>
      <c r="G189" s="204" t="s">
        <v>789</v>
      </c>
      <c r="H189" s="209"/>
      <c r="I189" s="98"/>
      <c r="J189" s="143">
        <f t="shared" ref="J189" si="47">SUM(J182:J188)</f>
        <v>99.84504609095876</v>
      </c>
      <c r="K189" s="143">
        <f t="shared" ref="K189:AO189" si="48">SUM(K182:K188)</f>
        <v>0</v>
      </c>
      <c r="L189" s="143">
        <f t="shared" si="48"/>
        <v>33.974246737497865</v>
      </c>
      <c r="M189" s="143">
        <f t="shared" si="48"/>
        <v>58.78027953645276</v>
      </c>
      <c r="N189" s="143">
        <f t="shared" si="48"/>
        <v>203.96329689061338</v>
      </c>
      <c r="O189" s="143">
        <f t="shared" si="48"/>
        <v>448.55160993589493</v>
      </c>
      <c r="P189" s="143">
        <f t="shared" si="48"/>
        <v>1397.0580112305111</v>
      </c>
      <c r="Q189" s="143">
        <f t="shared" si="48"/>
        <v>0</v>
      </c>
      <c r="R189" s="143">
        <f t="shared" si="48"/>
        <v>725.44541791972517</v>
      </c>
      <c r="S189" s="143">
        <f t="shared" si="48"/>
        <v>2682.3593165806997</v>
      </c>
      <c r="T189" s="143">
        <f t="shared" si="48"/>
        <v>5011.446609496491</v>
      </c>
      <c r="U189" s="143">
        <f t="shared" si="48"/>
        <v>7756.1159823966609</v>
      </c>
      <c r="V189" s="143">
        <f t="shared" si="48"/>
        <v>15347.908829425671</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1226.7258508094458</v>
      </c>
      <c r="AH189" s="143">
        <f t="shared" si="48"/>
        <v>0</v>
      </c>
      <c r="AI189" s="143">
        <f t="shared" si="48"/>
        <v>0</v>
      </c>
      <c r="AJ189" s="143">
        <f t="shared" si="48"/>
        <v>0</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157</v>
      </c>
      <c r="G193" s="75" t="s">
        <v>789</v>
      </c>
      <c r="H193" s="208"/>
      <c r="I193" s="19"/>
      <c r="J193" s="116">
        <f t="shared" ref="J193:AO193" si="49" xml:space="preserve"> IF( J$25 &lt;&gt; 0, J$22 * thousand * J73 / hundred / J$25,0)</f>
        <v>17.589687285415206</v>
      </c>
      <c r="K193" s="116">
        <f t="shared" si="49"/>
        <v>0</v>
      </c>
      <c r="L193" s="116">
        <f t="shared" si="49"/>
        <v>2.322990980926515</v>
      </c>
      <c r="M193" s="116">
        <f t="shared" si="49"/>
        <v>5.3949304108350837</v>
      </c>
      <c r="N193" s="116">
        <f t="shared" si="49"/>
        <v>31.836486130228593</v>
      </c>
      <c r="O193" s="116">
        <f t="shared" si="49"/>
        <v>76.372580999167027</v>
      </c>
      <c r="P193" s="116">
        <f t="shared" si="49"/>
        <v>249.0817397717787</v>
      </c>
      <c r="Q193" s="116">
        <f t="shared" si="49"/>
        <v>0</v>
      </c>
      <c r="R193" s="116">
        <f t="shared" si="49"/>
        <v>87.9608542582871</v>
      </c>
      <c r="S193" s="116">
        <f t="shared" si="49"/>
        <v>298.17997855308579</v>
      </c>
      <c r="T193" s="116">
        <f t="shared" si="49"/>
        <v>533.33583303926844</v>
      </c>
      <c r="U193" s="116">
        <f t="shared" si="49"/>
        <v>800.20347816763399</v>
      </c>
      <c r="V193" s="116">
        <f t="shared" si="49"/>
        <v>1451.6788341162614</v>
      </c>
      <c r="W193" s="116">
        <f t="shared" si="49"/>
        <v>280.27925332111107</v>
      </c>
      <c r="X193" s="116">
        <f t="shared" si="49"/>
        <v>417.7723175301756</v>
      </c>
      <c r="Y193" s="116">
        <f t="shared" si="49"/>
        <v>755.34959121506779</v>
      </c>
      <c r="Z193" s="116">
        <f t="shared" si="49"/>
        <v>1150.267281721764</v>
      </c>
      <c r="AA193" s="116">
        <f t="shared" si="49"/>
        <v>2479.9611027210885</v>
      </c>
      <c r="AB193" s="116">
        <f t="shared" si="49"/>
        <v>127.36179998789056</v>
      </c>
      <c r="AC193" s="116">
        <f t="shared" si="49"/>
        <v>1712.859832497295</v>
      </c>
      <c r="AD193" s="116">
        <f t="shared" si="49"/>
        <v>4239.5813647400992</v>
      </c>
      <c r="AE193" s="116">
        <f t="shared" si="49"/>
        <v>9399.4460670919507</v>
      </c>
      <c r="AF193" s="116">
        <f t="shared" si="49"/>
        <v>23765.10927978743</v>
      </c>
      <c r="AG193" s="116">
        <f t="shared" si="49"/>
        <v>219.00726594645144</v>
      </c>
      <c r="AH193" s="116">
        <f t="shared" si="49"/>
        <v>0</v>
      </c>
      <c r="AI193" s="116">
        <f t="shared" si="49"/>
        <v>0</v>
      </c>
      <c r="AJ193" s="116">
        <f t="shared" si="49"/>
        <v>0</v>
      </c>
      <c r="AK193" s="116">
        <f t="shared" si="49"/>
        <v>0</v>
      </c>
      <c r="AL193" s="116">
        <f t="shared" si="49"/>
        <v>0</v>
      </c>
      <c r="AM193" s="116">
        <f t="shared" si="49"/>
        <v>0</v>
      </c>
      <c r="AN193" s="116">
        <f t="shared" si="49"/>
        <v>-7875.3866275502314</v>
      </c>
      <c r="AO193" s="116">
        <f t="shared" si="49"/>
        <v>0</v>
      </c>
    </row>
    <row r="194" spans="3:43" x14ac:dyDescent="0.25">
      <c r="C194" s="78"/>
      <c r="F194" t="s">
        <v>158</v>
      </c>
      <c r="G194" s="12" t="s">
        <v>789</v>
      </c>
      <c r="H194" s="92"/>
      <c r="J194" s="88">
        <f t="shared" ref="J194:AO194" si="50" xml:space="preserve"> IF( J$25 &lt;&gt; 0, J$23 * thousand * J74 / hundred / J$25, 0)</f>
        <v>4.602501225861011</v>
      </c>
      <c r="K194" s="88">
        <f t="shared" si="50"/>
        <v>0</v>
      </c>
      <c r="L194" s="88">
        <f t="shared" si="50"/>
        <v>0.92757098019089101</v>
      </c>
      <c r="M194" s="88">
        <f t="shared" si="50"/>
        <v>2.1541972957828914</v>
      </c>
      <c r="N194" s="88">
        <f t="shared" si="50"/>
        <v>12.712318251821916</v>
      </c>
      <c r="O194" s="88">
        <f t="shared" si="50"/>
        <v>30.4955939987554</v>
      </c>
      <c r="P194" s="88">
        <f t="shared" si="50"/>
        <v>99.458411765168165</v>
      </c>
      <c r="Q194" s="88">
        <f t="shared" si="50"/>
        <v>0</v>
      </c>
      <c r="R194" s="88">
        <f t="shared" si="50"/>
        <v>28.921399191699074</v>
      </c>
      <c r="S194" s="88">
        <f t="shared" si="50"/>
        <v>98.041137315280054</v>
      </c>
      <c r="T194" s="88">
        <f t="shared" si="50"/>
        <v>175.36003555937299</v>
      </c>
      <c r="U194" s="88">
        <f t="shared" si="50"/>
        <v>263.10572381113286</v>
      </c>
      <c r="V194" s="88">
        <f t="shared" si="50"/>
        <v>477.30986031961106</v>
      </c>
      <c r="W194" s="88">
        <f t="shared" si="50"/>
        <v>73.235260137979921</v>
      </c>
      <c r="X194" s="88">
        <f t="shared" si="50"/>
        <v>109.1613595734688</v>
      </c>
      <c r="Y194" s="88">
        <f t="shared" si="50"/>
        <v>197.36824310850847</v>
      </c>
      <c r="Z194" s="88">
        <f t="shared" si="50"/>
        <v>300.55782797661431</v>
      </c>
      <c r="AA194" s="88">
        <f t="shared" si="50"/>
        <v>647.99871677184353</v>
      </c>
      <c r="AB194" s="88">
        <f t="shared" si="50"/>
        <v>23.855623205235471</v>
      </c>
      <c r="AC194" s="88">
        <f t="shared" si="50"/>
        <v>320.8288417038961</v>
      </c>
      <c r="AD194" s="88">
        <f t="shared" si="50"/>
        <v>794.09882393931196</v>
      </c>
      <c r="AE194" s="88">
        <f t="shared" si="50"/>
        <v>1760.5721946124941</v>
      </c>
      <c r="AF194" s="88">
        <f t="shared" si="50"/>
        <v>4451.3464199136379</v>
      </c>
      <c r="AG194" s="88">
        <f t="shared" si="50"/>
        <v>206.83089936390621</v>
      </c>
      <c r="AH194" s="88">
        <f t="shared" si="50"/>
        <v>0</v>
      </c>
      <c r="AI194" s="88">
        <f t="shared" si="50"/>
        <v>0</v>
      </c>
      <c r="AJ194" s="88">
        <f t="shared" si="50"/>
        <v>0</v>
      </c>
      <c r="AK194" s="88">
        <f t="shared" si="50"/>
        <v>0</v>
      </c>
      <c r="AL194" s="88">
        <f t="shared" si="50"/>
        <v>0</v>
      </c>
      <c r="AM194" s="88">
        <f t="shared" si="50"/>
        <v>0</v>
      </c>
      <c r="AN194" s="88">
        <f t="shared" si="50"/>
        <v>-2022.7916580396407</v>
      </c>
      <c r="AO194" s="88">
        <f t="shared" si="50"/>
        <v>0</v>
      </c>
    </row>
    <row r="195" spans="3:43" x14ac:dyDescent="0.25">
      <c r="C195" s="78"/>
      <c r="F195" t="s">
        <v>159</v>
      </c>
      <c r="G195" s="12" t="s">
        <v>789</v>
      </c>
      <c r="H195" s="92"/>
      <c r="J195" s="88">
        <f t="shared" ref="J195:AO195" si="51" xml:space="preserve"> IF( J$25 &lt;&gt; 0, J$24 * thousand * J75 / hundred / J$25, 0)</f>
        <v>0.36040532912266426</v>
      </c>
      <c r="K195" s="88">
        <f t="shared" si="51"/>
        <v>0</v>
      </c>
      <c r="L195" s="88">
        <f t="shared" si="51"/>
        <v>5.6148324549459831E-2</v>
      </c>
      <c r="M195" s="88">
        <f t="shared" si="51"/>
        <v>0.13039925945321665</v>
      </c>
      <c r="N195" s="88">
        <f t="shared" si="51"/>
        <v>0.76951024366073428</v>
      </c>
      <c r="O195" s="88">
        <f t="shared" si="51"/>
        <v>1.8459789555062374</v>
      </c>
      <c r="P195" s="88">
        <f t="shared" si="51"/>
        <v>6.0204806987549562</v>
      </c>
      <c r="Q195" s="88">
        <f t="shared" si="51"/>
        <v>0</v>
      </c>
      <c r="R195" s="88">
        <f t="shared" si="51"/>
        <v>1.7322244726134481</v>
      </c>
      <c r="S195" s="88">
        <f t="shared" si="51"/>
        <v>5.8720968600000329</v>
      </c>
      <c r="T195" s="88">
        <f t="shared" si="51"/>
        <v>10.503051498334679</v>
      </c>
      <c r="U195" s="88">
        <f t="shared" si="51"/>
        <v>15.758510528810426</v>
      </c>
      <c r="V195" s="88">
        <f t="shared" si="51"/>
        <v>28.588098922359354</v>
      </c>
      <c r="W195" s="88">
        <f t="shared" si="51"/>
        <v>3.9953121202249471</v>
      </c>
      <c r="X195" s="88">
        <f t="shared" si="51"/>
        <v>5.955242080691864</v>
      </c>
      <c r="Y195" s="88">
        <f t="shared" si="51"/>
        <v>10.767323449841692</v>
      </c>
      <c r="Z195" s="88">
        <f t="shared" si="51"/>
        <v>16.396778419043304</v>
      </c>
      <c r="AA195" s="88">
        <f t="shared" si="51"/>
        <v>35.351238216823397</v>
      </c>
      <c r="AB195" s="88">
        <f t="shared" si="51"/>
        <v>1.0772672245805057</v>
      </c>
      <c r="AC195" s="88">
        <f t="shared" si="51"/>
        <v>14.487921480579198</v>
      </c>
      <c r="AD195" s="88">
        <f t="shared" si="51"/>
        <v>35.859747982605775</v>
      </c>
      <c r="AE195" s="88">
        <f t="shared" si="51"/>
        <v>79.503549559232354</v>
      </c>
      <c r="AF195" s="88">
        <f t="shared" si="51"/>
        <v>201.01296713868032</v>
      </c>
      <c r="AG195" s="88">
        <f t="shared" si="51"/>
        <v>410.35755635145125</v>
      </c>
      <c r="AH195" s="88">
        <f t="shared" si="51"/>
        <v>0</v>
      </c>
      <c r="AI195" s="88">
        <f t="shared" si="51"/>
        <v>0</v>
      </c>
      <c r="AJ195" s="88">
        <f t="shared" si="51"/>
        <v>0</v>
      </c>
      <c r="AK195" s="88">
        <f t="shared" si="51"/>
        <v>0</v>
      </c>
      <c r="AL195" s="88">
        <f t="shared" si="51"/>
        <v>0</v>
      </c>
      <c r="AM195" s="88">
        <f t="shared" si="51"/>
        <v>0</v>
      </c>
      <c r="AN195" s="88">
        <f t="shared" si="51"/>
        <v>-86.017053755165477</v>
      </c>
      <c r="AO195" s="88">
        <f t="shared" si="51"/>
        <v>0</v>
      </c>
    </row>
    <row r="196" spans="3:43" x14ac:dyDescent="0.25">
      <c r="C196" s="78"/>
      <c r="F196" s="19" t="s">
        <v>160</v>
      </c>
      <c r="G196" s="75" t="s">
        <v>789</v>
      </c>
      <c r="H196" s="208"/>
      <c r="I196" s="19"/>
      <c r="J196" s="116">
        <f t="shared" ref="J196:AO196" si="52" xml:space="preserve"> IF( J$25 &lt;&gt; 0, J$25 * J76 * days_in_year / hundred / J$25, 0)</f>
        <v>46.573999999999998</v>
      </c>
      <c r="K196" s="116">
        <f t="shared" si="52"/>
        <v>0</v>
      </c>
      <c r="L196" s="116">
        <f t="shared" si="52"/>
        <v>20.695499999999996</v>
      </c>
      <c r="M196" s="116">
        <f t="shared" si="52"/>
        <v>33.214999999999996</v>
      </c>
      <c r="N196" s="116">
        <f t="shared" si="52"/>
        <v>94.608000000000004</v>
      </c>
      <c r="O196" s="116">
        <f t="shared" si="52"/>
        <v>198.01250000000002</v>
      </c>
      <c r="P196" s="116">
        <f t="shared" si="52"/>
        <v>599.03800000000001</v>
      </c>
      <c r="Q196" s="116">
        <f t="shared" si="52"/>
        <v>0</v>
      </c>
      <c r="R196" s="116">
        <f t="shared" si="52"/>
        <v>27.776500000000006</v>
      </c>
      <c r="S196" s="116">
        <f t="shared" si="52"/>
        <v>993.31100000000004</v>
      </c>
      <c r="T196" s="116">
        <f t="shared" si="52"/>
        <v>1785.58</v>
      </c>
      <c r="U196" s="116">
        <f t="shared" si="52"/>
        <v>2744.7270000000003</v>
      </c>
      <c r="V196" s="116">
        <f t="shared" si="52"/>
        <v>5804.5585000000001</v>
      </c>
      <c r="W196" s="116">
        <f t="shared" si="52"/>
        <v>35.587499999999999</v>
      </c>
      <c r="X196" s="116">
        <f t="shared" si="52"/>
        <v>1656.5524999999998</v>
      </c>
      <c r="Y196" s="116">
        <f t="shared" si="52"/>
        <v>2986.6489999999999</v>
      </c>
      <c r="Z196" s="116">
        <f t="shared" si="52"/>
        <v>4596.9195</v>
      </c>
      <c r="AA196" s="116">
        <f t="shared" si="52"/>
        <v>9733.8930000000018</v>
      </c>
      <c r="AB196" s="116">
        <f t="shared" si="52"/>
        <v>363.43049999999999</v>
      </c>
      <c r="AC196" s="116">
        <f t="shared" si="52"/>
        <v>11782.8205</v>
      </c>
      <c r="AD196" s="116">
        <f t="shared" si="52"/>
        <v>28628.154499999997</v>
      </c>
      <c r="AE196" s="116">
        <f t="shared" si="52"/>
        <v>63028.346000000005</v>
      </c>
      <c r="AF196" s="116">
        <f t="shared" si="52"/>
        <v>158802.375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161</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260.1092496029251</v>
      </c>
      <c r="S197" s="88">
        <f t="shared" si="53"/>
        <v>363.33988485399914</v>
      </c>
      <c r="T197" s="88">
        <f t="shared" si="53"/>
        <v>893.53716481881918</v>
      </c>
      <c r="U197" s="88">
        <f t="shared" si="53"/>
        <v>1445.8863944207135</v>
      </c>
      <c r="V197" s="88">
        <f t="shared" si="53"/>
        <v>2681.4386480400085</v>
      </c>
      <c r="W197" s="88">
        <f t="shared" si="53"/>
        <v>1082.7205088475741</v>
      </c>
      <c r="X197" s="88">
        <f t="shared" si="53"/>
        <v>703.74666454804481</v>
      </c>
      <c r="Y197" s="88">
        <f t="shared" si="53"/>
        <v>1479.6556451018084</v>
      </c>
      <c r="Z197" s="88">
        <f t="shared" si="53"/>
        <v>2342.9033154736476</v>
      </c>
      <c r="AA197" s="88">
        <f t="shared" si="53"/>
        <v>4905.1667901532492</v>
      </c>
      <c r="AB197" s="88">
        <f t="shared" si="53"/>
        <v>1767.8537633320116</v>
      </c>
      <c r="AC197" s="88">
        <f t="shared" si="53"/>
        <v>3084.0996679229688</v>
      </c>
      <c r="AD197" s="88">
        <f t="shared" si="53"/>
        <v>8371.9606284283072</v>
      </c>
      <c r="AE197" s="88">
        <f t="shared" si="53"/>
        <v>16649.786970532183</v>
      </c>
      <c r="AF197" s="88">
        <f t="shared" si="53"/>
        <v>39904.425200608763</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162</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84.383775833692653</v>
      </c>
      <c r="S198" s="88">
        <f t="shared" si="54"/>
        <v>67.328458526715153</v>
      </c>
      <c r="T198" s="88">
        <f t="shared" si="54"/>
        <v>13.8272335573148</v>
      </c>
      <c r="U198" s="88">
        <f t="shared" si="54"/>
        <v>9.9619382080001291</v>
      </c>
      <c r="V198" s="88">
        <f t="shared" si="54"/>
        <v>3.0426959050475659</v>
      </c>
      <c r="W198" s="88">
        <f t="shared" si="54"/>
        <v>82.286348406098</v>
      </c>
      <c r="X198" s="88">
        <f t="shared" si="54"/>
        <v>108.74523008572896</v>
      </c>
      <c r="Y198" s="88">
        <f t="shared" si="54"/>
        <v>31.406939865657034</v>
      </c>
      <c r="Z198" s="88">
        <f t="shared" si="54"/>
        <v>25.551832228035995</v>
      </c>
      <c r="AA198" s="88">
        <f t="shared" si="54"/>
        <v>89.578530043074181</v>
      </c>
      <c r="AB198" s="88">
        <f t="shared" si="54"/>
        <v>151.72902043931182</v>
      </c>
      <c r="AC198" s="88">
        <f t="shared" si="54"/>
        <v>171.51439719553255</v>
      </c>
      <c r="AD198" s="88">
        <f t="shared" si="54"/>
        <v>92.688117086805278</v>
      </c>
      <c r="AE198" s="88">
        <f t="shared" si="54"/>
        <v>128.39730743535625</v>
      </c>
      <c r="AF198" s="88">
        <f t="shared" si="54"/>
        <v>22.846503420991905</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163</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4.946903019038813</v>
      </c>
      <c r="S199" s="116">
        <f t="shared" si="55"/>
        <v>4.561241717246415</v>
      </c>
      <c r="T199" s="116">
        <f t="shared" si="55"/>
        <v>7.5936790646638466</v>
      </c>
      <c r="U199" s="116">
        <f t="shared" si="55"/>
        <v>12.575943405252652</v>
      </c>
      <c r="V199" s="116">
        <f t="shared" si="55"/>
        <v>24.4808759620751</v>
      </c>
      <c r="W199" s="116">
        <f t="shared" si="55"/>
        <v>19.839292735974421</v>
      </c>
      <c r="X199" s="116">
        <f t="shared" si="55"/>
        <v>10.231781128900472</v>
      </c>
      <c r="Y199" s="116">
        <f t="shared" si="55"/>
        <v>13.534908159768799</v>
      </c>
      <c r="Z199" s="116">
        <f t="shared" si="55"/>
        <v>20.004209956044107</v>
      </c>
      <c r="AA199" s="116">
        <f t="shared" si="55"/>
        <v>42.398484974015972</v>
      </c>
      <c r="AB199" s="116">
        <f t="shared" si="55"/>
        <v>14.377125050691692</v>
      </c>
      <c r="AC199" s="116">
        <f t="shared" si="55"/>
        <v>26.452670979406705</v>
      </c>
      <c r="AD199" s="116">
        <f t="shared" si="55"/>
        <v>45.342011015692094</v>
      </c>
      <c r="AE199" s="116">
        <f t="shared" si="55"/>
        <v>129.67421165009381</v>
      </c>
      <c r="AF199" s="116">
        <f t="shared" si="55"/>
        <v>253.91639916339057</v>
      </c>
      <c r="AG199" s="116">
        <f t="shared" si="55"/>
        <v>0</v>
      </c>
      <c r="AH199" s="116">
        <f t="shared" si="55"/>
        <v>0</v>
      </c>
      <c r="AI199" s="116">
        <f t="shared" si="55"/>
        <v>0</v>
      </c>
      <c r="AJ199" s="116">
        <f t="shared" si="55"/>
        <v>0</v>
      </c>
      <c r="AK199" s="116">
        <f t="shared" si="55"/>
        <v>0</v>
      </c>
      <c r="AL199" s="116">
        <f t="shared" si="55"/>
        <v>0</v>
      </c>
      <c r="AM199" s="116">
        <f t="shared" si="55"/>
        <v>0</v>
      </c>
      <c r="AN199" s="116">
        <f t="shared" si="55"/>
        <v>25.475595709008438</v>
      </c>
      <c r="AO199" s="116">
        <f t="shared" si="55"/>
        <v>0</v>
      </c>
    </row>
    <row r="200" spans="3:43" x14ac:dyDescent="0.25">
      <c r="C200" s="78"/>
      <c r="F200" s="98" t="s">
        <v>101</v>
      </c>
      <c r="G200" s="204" t="s">
        <v>789</v>
      </c>
      <c r="H200" s="209"/>
      <c r="I200" s="98"/>
      <c r="J200" s="143">
        <f t="shared" ref="J200" si="56">SUM(J193:J199)</f>
        <v>69.126593840398883</v>
      </c>
      <c r="K200" s="143">
        <f t="shared" ref="K200:AO200" si="57">SUM(K193:K199)</f>
        <v>0</v>
      </c>
      <c r="L200" s="143">
        <f t="shared" si="57"/>
        <v>24.002210285666862</v>
      </c>
      <c r="M200" s="143">
        <f t="shared" si="57"/>
        <v>40.89452696607119</v>
      </c>
      <c r="N200" s="143">
        <f t="shared" si="57"/>
        <v>139.92631462571126</v>
      </c>
      <c r="O200" s="143">
        <f t="shared" si="57"/>
        <v>306.72665395342869</v>
      </c>
      <c r="P200" s="143">
        <f t="shared" si="57"/>
        <v>953.59863223570187</v>
      </c>
      <c r="Q200" s="143">
        <f t="shared" si="57"/>
        <v>0</v>
      </c>
      <c r="R200" s="143">
        <f t="shared" si="57"/>
        <v>495.8309063782562</v>
      </c>
      <c r="S200" s="143">
        <f t="shared" si="57"/>
        <v>1830.6337978263268</v>
      </c>
      <c r="T200" s="143">
        <f t="shared" si="57"/>
        <v>3419.7369975377737</v>
      </c>
      <c r="U200" s="143">
        <f t="shared" si="57"/>
        <v>5292.2189885415437</v>
      </c>
      <c r="V200" s="143">
        <f t="shared" si="57"/>
        <v>10471.097513265364</v>
      </c>
      <c r="W200" s="143">
        <f t="shared" si="57"/>
        <v>1577.9434755689624</v>
      </c>
      <c r="X200" s="143">
        <f t="shared" si="57"/>
        <v>3012.1650949470104</v>
      </c>
      <c r="Y200" s="143">
        <f t="shared" si="57"/>
        <v>5474.7316509006523</v>
      </c>
      <c r="Z200" s="143">
        <f t="shared" si="57"/>
        <v>8452.6007457751493</v>
      </c>
      <c r="AA200" s="143">
        <f t="shared" si="57"/>
        <v>17934.347862880095</v>
      </c>
      <c r="AB200" s="143">
        <f t="shared" si="57"/>
        <v>2449.6850992397212</v>
      </c>
      <c r="AC200" s="143">
        <f t="shared" si="57"/>
        <v>17113.06383177968</v>
      </c>
      <c r="AD200" s="143">
        <f t="shared" si="57"/>
        <v>42207.685193192825</v>
      </c>
      <c r="AE200" s="143">
        <f t="shared" si="57"/>
        <v>91175.726300881317</v>
      </c>
      <c r="AF200" s="143">
        <f t="shared" si="57"/>
        <v>227401.03177003292</v>
      </c>
      <c r="AG200" s="143">
        <f t="shared" si="57"/>
        <v>836.19572166180888</v>
      </c>
      <c r="AH200" s="143">
        <f t="shared" si="57"/>
        <v>0</v>
      </c>
      <c r="AI200" s="143">
        <f t="shared" si="57"/>
        <v>0</v>
      </c>
      <c r="AJ200" s="143">
        <f t="shared" si="57"/>
        <v>0</v>
      </c>
      <c r="AK200" s="143">
        <f t="shared" si="57"/>
        <v>0</v>
      </c>
      <c r="AL200" s="143">
        <f t="shared" si="57"/>
        <v>0</v>
      </c>
      <c r="AM200" s="143">
        <f t="shared" si="57"/>
        <v>0</v>
      </c>
      <c r="AN200" s="143">
        <f t="shared" si="57"/>
        <v>-9958.7197436360293</v>
      </c>
      <c r="AO200" s="143">
        <f t="shared" si="57"/>
        <v>0</v>
      </c>
    </row>
    <row r="201" spans="3:43" x14ac:dyDescent="0.25">
      <c r="C201" s="78"/>
      <c r="D201" s="2"/>
      <c r="E201" s="2"/>
      <c r="G201" s="12"/>
    </row>
    <row r="202" spans="3:43" x14ac:dyDescent="0.25">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168</v>
      </c>
      <c r="J206" s="101">
        <f>IF( AND( ISNUMBER(J$140), J$140 &lt;&gt; 0), ( J$140 - J189 ) / J$140, 0)</f>
        <v>0.3824156918469111</v>
      </c>
      <c r="K206" s="101">
        <f>IF( AND( ISNUMBER(K$140), K$140 &lt;&gt; 0), ( K$140 - K189 ) / K$140, 0)</f>
        <v>0</v>
      </c>
      <c r="L206" s="101">
        <f t="shared" ref="L206:AK206" si="58">IF( AND( ISNUMBER(L$140), L$140 &lt;&gt; 0), ( L$140 - L189 ) / L$140, 0)</f>
        <v>0.37190708298708919</v>
      </c>
      <c r="M206" s="101">
        <f t="shared" si="58"/>
        <v>0.3796932315404245</v>
      </c>
      <c r="N206" s="101">
        <f t="shared" si="58"/>
        <v>0.387543591232485</v>
      </c>
      <c r="O206" s="101">
        <f t="shared" si="58"/>
        <v>0.38922419670803293</v>
      </c>
      <c r="P206" s="101">
        <f t="shared" si="58"/>
        <v>0.39016134839408001</v>
      </c>
      <c r="Q206" s="101">
        <f t="shared" si="58"/>
        <v>0</v>
      </c>
      <c r="R206" s="101">
        <f t="shared" si="58"/>
        <v>0.39036567650013343</v>
      </c>
      <c r="S206" s="101">
        <f t="shared" si="58"/>
        <v>0.3906636635785376</v>
      </c>
      <c r="T206" s="101">
        <f t="shared" si="58"/>
        <v>0.39087248642249484</v>
      </c>
      <c r="U206" s="101">
        <f t="shared" si="58"/>
        <v>0.39092927927748355</v>
      </c>
      <c r="V206" s="101">
        <f t="shared" si="58"/>
        <v>0.39094265019426433</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0.39050050606717962</v>
      </c>
      <c r="AH206" s="101">
        <f t="shared" si="58"/>
        <v>0</v>
      </c>
      <c r="AI206" s="378"/>
      <c r="AJ206" s="101">
        <f t="shared" si="58"/>
        <v>0</v>
      </c>
      <c r="AK206" s="101">
        <f t="shared" si="58"/>
        <v>0</v>
      </c>
      <c r="AL206" s="378"/>
      <c r="AM206" s="378"/>
      <c r="AN206" s="378"/>
      <c r="AO206" s="378"/>
    </row>
    <row r="207" spans="3:43" x14ac:dyDescent="0.25">
      <c r="C207" s="78"/>
      <c r="D207" s="2"/>
      <c r="E207" t="s">
        <v>794</v>
      </c>
      <c r="G207" s="23" t="s">
        <v>168</v>
      </c>
      <c r="J207" s="101">
        <f>IF( AND( ISNUMBER(J$140), J$140 &lt;&gt; 0), ( J$140 - J200 ) / J$140, 0)</f>
        <v>0.57242245556168714</v>
      </c>
      <c r="K207" s="101">
        <f>IF( AND( ISNUMBER(K$140), K$140 &lt;&gt; 0), ( K$140 - K200 ) / K$140, 0)</f>
        <v>0</v>
      </c>
      <c r="L207" s="101">
        <f t="shared" ref="L207:AO207" si="59">IF( AND( ISNUMBER(L$140), L$140 &lt;&gt; 0), ( L$140 - L200 ) / L$140, 0)</f>
        <v>0.55626335472384103</v>
      </c>
      <c r="M207" s="101">
        <f t="shared" si="59"/>
        <v>0.56844111545480014</v>
      </c>
      <c r="N207" s="101">
        <f t="shared" si="59"/>
        <v>0.5798324038971715</v>
      </c>
      <c r="O207" s="101">
        <f t="shared" si="59"/>
        <v>0.5823418881804111</v>
      </c>
      <c r="P207" s="101">
        <f t="shared" si="59"/>
        <v>0.58373861401527927</v>
      </c>
      <c r="Q207" s="101">
        <f t="shared" si="59"/>
        <v>0</v>
      </c>
      <c r="R207" s="101">
        <f t="shared" si="59"/>
        <v>0.58332421473274432</v>
      </c>
      <c r="S207" s="101">
        <f t="shared" si="59"/>
        <v>0.58414531386543167</v>
      </c>
      <c r="T207" s="101">
        <f t="shared" si="59"/>
        <v>0.58434039974567842</v>
      </c>
      <c r="U207" s="101">
        <f t="shared" si="59"/>
        <v>0.58441368838628871</v>
      </c>
      <c r="V207" s="101">
        <f t="shared" si="59"/>
        <v>0.58447115031334973</v>
      </c>
      <c r="W207" s="101">
        <f t="shared" si="59"/>
        <v>0.30205531192277779</v>
      </c>
      <c r="X207" s="101">
        <f t="shared" si="59"/>
        <v>0.30220453532575126</v>
      </c>
      <c r="Y207" s="101">
        <f t="shared" si="59"/>
        <v>0.30229370650061699</v>
      </c>
      <c r="Z207" s="101">
        <f t="shared" si="59"/>
        <v>0.30233111580198357</v>
      </c>
      <c r="AA207" s="101">
        <f t="shared" si="59"/>
        <v>0.30236569301944949</v>
      </c>
      <c r="AB207" s="101">
        <f t="shared" si="59"/>
        <v>0.17147781061693579</v>
      </c>
      <c r="AC207" s="101">
        <f t="shared" si="59"/>
        <v>0.17232127670734365</v>
      </c>
      <c r="AD207" s="101">
        <f t="shared" si="59"/>
        <v>0.17230227245035926</v>
      </c>
      <c r="AE207" s="101">
        <f t="shared" si="59"/>
        <v>0.17233201636065898</v>
      </c>
      <c r="AF207" s="101">
        <f t="shared" si="59"/>
        <v>0.1723420780326563</v>
      </c>
      <c r="AG207" s="101">
        <f t="shared" si="59"/>
        <v>0.58453564107631206</v>
      </c>
      <c r="AH207" s="101">
        <f t="shared" si="59"/>
        <v>0</v>
      </c>
      <c r="AI207" s="101">
        <f t="shared" si="59"/>
        <v>0</v>
      </c>
      <c r="AJ207" s="101">
        <f t="shared" si="59"/>
        <v>0</v>
      </c>
      <c r="AK207" s="101">
        <f t="shared" si="59"/>
        <v>0</v>
      </c>
      <c r="AL207" s="101">
        <f t="shared" si="59"/>
        <v>0</v>
      </c>
      <c r="AM207" s="101">
        <f t="shared" si="59"/>
        <v>0</v>
      </c>
      <c r="AN207" s="101">
        <f t="shared" si="59"/>
        <v>-2.8172449492011611E-2</v>
      </c>
      <c r="AO207" s="101">
        <f t="shared" si="59"/>
        <v>0</v>
      </c>
    </row>
    <row r="208" spans="3:43" x14ac:dyDescent="0.25">
      <c r="C208" s="78"/>
      <c r="D208" s="2"/>
      <c r="E208" s="2"/>
      <c r="F208" s="92"/>
      <c r="G208" s="92"/>
    </row>
    <row r="209" spans="2:43" x14ac:dyDescent="0.25">
      <c r="B209" s="25" t="s">
        <v>232</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233</v>
      </c>
      <c r="G211" s="6" t="s">
        <v>56</v>
      </c>
      <c r="H211" s="93">
        <f t="array" ref="H211">SUM(IF(ISERROR($H$13:$AP$207), 1))</f>
        <v>0</v>
      </c>
      <c r="I211" s="3"/>
    </row>
    <row r="212" spans="2:43" x14ac:dyDescent="0.25">
      <c r="F212" s="3"/>
      <c r="G212" s="3"/>
      <c r="H212" s="3"/>
      <c r="I212" s="3"/>
    </row>
    <row r="213" spans="2:43" x14ac:dyDescent="0.25">
      <c r="B213" s="25" t="s">
        <v>107</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National Grid Electricity Distribution (South West) plc - [enter data version name]</v>
      </c>
    </row>
    <row r="3" spans="1:44" s="5" customFormat="1" x14ac:dyDescent="0.25">
      <c r="A3" s="5" t="str">
        <f>Cover!D2&amp;" - "&amp;Cover!D8&amp;" v"&amp;Cover!D10&amp;" - "&amp;Cover!D19</f>
        <v>CDCM charging model - Release for charge setting v9 - 2024/25</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143</v>
      </c>
      <c r="C5" s="50"/>
      <c r="D5" s="50"/>
      <c r="E5" s="50"/>
      <c r="F5" s="50"/>
      <c r="G5" s="51"/>
      <c r="H5" s="51" t="s">
        <v>795</v>
      </c>
      <c r="J5" s="52" t="s">
        <v>796</v>
      </c>
      <c r="K5" s="52" t="s">
        <v>797</v>
      </c>
      <c r="L5" s="52" t="s">
        <v>798</v>
      </c>
      <c r="M5" s="52" t="s">
        <v>799</v>
      </c>
      <c r="N5" s="52" t="s">
        <v>800</v>
      </c>
      <c r="O5" s="52" t="s">
        <v>801</v>
      </c>
      <c r="P5" s="52" t="s">
        <v>802</v>
      </c>
      <c r="R5" s="51" t="s">
        <v>146</v>
      </c>
    </row>
    <row r="7" spans="1:44"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97</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15.164999999999999</v>
      </c>
      <c r="K16" s="210">
        <v>0.75800000000000001</v>
      </c>
      <c r="L16" s="210">
        <v>5.3999999999999999E-2</v>
      </c>
      <c r="M16" s="366">
        <v>29.42</v>
      </c>
      <c r="N16" s="211">
        <v>0</v>
      </c>
      <c r="O16" s="211">
        <v>0</v>
      </c>
      <c r="P16" s="210">
        <v>0</v>
      </c>
    </row>
    <row r="17" spans="6:16" x14ac:dyDescent="0.25">
      <c r="F17" t="s">
        <v>829</v>
      </c>
      <c r="H17" t="s">
        <v>772</v>
      </c>
      <c r="J17" s="212">
        <v>15.164999999999999</v>
      </c>
      <c r="K17" s="212">
        <v>0.75800000000000001</v>
      </c>
      <c r="L17" s="212">
        <v>5.3999999999999999E-2</v>
      </c>
      <c r="M17" s="367">
        <v>0</v>
      </c>
      <c r="N17" s="213">
        <v>0</v>
      </c>
      <c r="O17" s="213">
        <v>0</v>
      </c>
      <c r="P17" s="212">
        <v>0</v>
      </c>
    </row>
    <row r="18" spans="6:16" x14ac:dyDescent="0.25">
      <c r="F18" t="s">
        <v>909</v>
      </c>
      <c r="H18" t="s">
        <v>772</v>
      </c>
      <c r="J18" s="212">
        <v>16.257000000000001</v>
      </c>
      <c r="K18" s="212">
        <v>0.81299999999999994</v>
      </c>
      <c r="L18" s="212">
        <v>5.7000000000000002E-2</v>
      </c>
      <c r="M18" s="367">
        <v>12.64</v>
      </c>
      <c r="N18" s="213">
        <v>0</v>
      </c>
      <c r="O18" s="213">
        <v>0</v>
      </c>
      <c r="P18" s="212">
        <v>0</v>
      </c>
    </row>
    <row r="19" spans="6:16" x14ac:dyDescent="0.25">
      <c r="F19" t="s">
        <v>910</v>
      </c>
      <c r="H19" t="s">
        <v>772</v>
      </c>
      <c r="J19" s="212">
        <v>16.257000000000001</v>
      </c>
      <c r="K19" s="212">
        <v>0.81299999999999994</v>
      </c>
      <c r="L19" s="212">
        <v>5.7000000000000002E-2</v>
      </c>
      <c r="M19" s="367">
        <v>20.9</v>
      </c>
      <c r="N19" s="213">
        <v>0</v>
      </c>
      <c r="O19" s="213">
        <v>0</v>
      </c>
      <c r="P19" s="212">
        <v>0</v>
      </c>
    </row>
    <row r="20" spans="6:16" x14ac:dyDescent="0.25">
      <c r="F20" t="s">
        <v>911</v>
      </c>
      <c r="H20" t="s">
        <v>772</v>
      </c>
      <c r="J20" s="212">
        <v>16.257000000000001</v>
      </c>
      <c r="K20" s="212">
        <v>0.81299999999999994</v>
      </c>
      <c r="L20" s="212">
        <v>5.7000000000000002E-2</v>
      </c>
      <c r="M20" s="367">
        <v>61.37</v>
      </c>
      <c r="N20" s="213">
        <v>0</v>
      </c>
      <c r="O20" s="213">
        <v>0</v>
      </c>
      <c r="P20" s="212">
        <v>0</v>
      </c>
    </row>
    <row r="21" spans="6:16" x14ac:dyDescent="0.25">
      <c r="F21" t="s">
        <v>912</v>
      </c>
      <c r="H21" t="s">
        <v>772</v>
      </c>
      <c r="J21" s="212">
        <v>16.257000000000001</v>
      </c>
      <c r="K21" s="212">
        <v>0.81299999999999994</v>
      </c>
      <c r="L21" s="212">
        <v>5.7000000000000002E-2</v>
      </c>
      <c r="M21" s="367">
        <v>129.55000000000001</v>
      </c>
      <c r="N21" s="213">
        <v>0</v>
      </c>
      <c r="O21" s="213">
        <v>0</v>
      </c>
      <c r="P21" s="212">
        <v>0</v>
      </c>
    </row>
    <row r="22" spans="6:16" x14ac:dyDescent="0.25">
      <c r="F22" t="s">
        <v>913</v>
      </c>
      <c r="H22" t="s">
        <v>772</v>
      </c>
      <c r="J22" s="212">
        <v>16.257000000000001</v>
      </c>
      <c r="K22" s="212">
        <v>0.81299999999999994</v>
      </c>
      <c r="L22" s="212">
        <v>5.7000000000000002E-2</v>
      </c>
      <c r="M22" s="367">
        <v>393.94</v>
      </c>
      <c r="N22" s="213">
        <v>0</v>
      </c>
      <c r="O22" s="213">
        <v>0</v>
      </c>
      <c r="P22" s="212">
        <v>0</v>
      </c>
    </row>
    <row r="23" spans="6:16" x14ac:dyDescent="0.25">
      <c r="F23" t="s">
        <v>830</v>
      </c>
      <c r="H23" t="s">
        <v>772</v>
      </c>
      <c r="J23" s="212">
        <v>16.257000000000001</v>
      </c>
      <c r="K23" s="212">
        <v>0.81299999999999994</v>
      </c>
      <c r="L23" s="212">
        <v>5.7000000000000002E-2</v>
      </c>
      <c r="M23" s="367">
        <v>0</v>
      </c>
      <c r="N23" s="213">
        <v>0</v>
      </c>
      <c r="O23" s="213">
        <v>0</v>
      </c>
      <c r="P23" s="212">
        <v>0</v>
      </c>
    </row>
    <row r="24" spans="6:16" x14ac:dyDescent="0.25">
      <c r="F24" t="s">
        <v>914</v>
      </c>
      <c r="H24" t="s">
        <v>772</v>
      </c>
      <c r="J24" s="212">
        <v>10.983000000000001</v>
      </c>
      <c r="K24" s="212">
        <v>0.499</v>
      </c>
      <c r="L24" s="212">
        <v>3.4000000000000002E-2</v>
      </c>
      <c r="M24" s="367">
        <v>17.29</v>
      </c>
      <c r="N24" s="213">
        <v>5.18</v>
      </c>
      <c r="O24" s="213">
        <v>10.130000000000001</v>
      </c>
      <c r="P24" s="212">
        <v>0.14399999999999999</v>
      </c>
    </row>
    <row r="25" spans="6:16" x14ac:dyDescent="0.25">
      <c r="F25" t="s">
        <v>915</v>
      </c>
      <c r="H25" t="s">
        <v>772</v>
      </c>
      <c r="J25" s="212">
        <v>10.983000000000001</v>
      </c>
      <c r="K25" s="212">
        <v>0.499</v>
      </c>
      <c r="L25" s="212">
        <v>3.4000000000000002E-2</v>
      </c>
      <c r="M25" s="367">
        <v>653.9</v>
      </c>
      <c r="N25" s="213">
        <v>5.18</v>
      </c>
      <c r="O25" s="213">
        <v>10.130000000000001</v>
      </c>
      <c r="P25" s="212">
        <v>0.14399999999999999</v>
      </c>
    </row>
    <row r="26" spans="6:16" x14ac:dyDescent="0.25">
      <c r="F26" t="s">
        <v>916</v>
      </c>
      <c r="H26" t="s">
        <v>772</v>
      </c>
      <c r="J26" s="212">
        <v>10.983000000000001</v>
      </c>
      <c r="K26" s="212">
        <v>0.499</v>
      </c>
      <c r="L26" s="212">
        <v>3.4000000000000002E-2</v>
      </c>
      <c r="M26" s="367">
        <v>1176.25</v>
      </c>
      <c r="N26" s="213">
        <v>5.18</v>
      </c>
      <c r="O26" s="213">
        <v>10.130000000000001</v>
      </c>
      <c r="P26" s="212">
        <v>0.14399999999999999</v>
      </c>
    </row>
    <row r="27" spans="6:16" x14ac:dyDescent="0.25">
      <c r="F27" t="s">
        <v>917</v>
      </c>
      <c r="H27" t="s">
        <v>772</v>
      </c>
      <c r="J27" s="212">
        <v>10.983000000000001</v>
      </c>
      <c r="K27" s="212">
        <v>0.499</v>
      </c>
      <c r="L27" s="212">
        <v>3.4000000000000002E-2</v>
      </c>
      <c r="M27" s="367">
        <v>1808.63</v>
      </c>
      <c r="N27" s="213">
        <v>5.18</v>
      </c>
      <c r="O27" s="213">
        <v>10.130000000000001</v>
      </c>
      <c r="P27" s="212">
        <v>0.14399999999999999</v>
      </c>
    </row>
    <row r="28" spans="6:16" x14ac:dyDescent="0.25">
      <c r="F28" t="s">
        <v>918</v>
      </c>
      <c r="H28" t="s">
        <v>772</v>
      </c>
      <c r="J28" s="212">
        <v>10.983000000000001</v>
      </c>
      <c r="K28" s="212">
        <v>0.499</v>
      </c>
      <c r="L28" s="212">
        <v>3.4000000000000002E-2</v>
      </c>
      <c r="M28" s="367">
        <v>3826.05</v>
      </c>
      <c r="N28" s="213">
        <v>5.18</v>
      </c>
      <c r="O28" s="213">
        <v>10.130000000000001</v>
      </c>
      <c r="P28" s="212">
        <v>0.14399999999999999</v>
      </c>
    </row>
    <row r="29" spans="6:16" x14ac:dyDescent="0.25">
      <c r="F29" t="s">
        <v>919</v>
      </c>
      <c r="H29" t="s">
        <v>772</v>
      </c>
      <c r="J29" s="212">
        <v>8.0129999999999999</v>
      </c>
      <c r="K29" s="212">
        <v>0.28499999999999998</v>
      </c>
      <c r="L29" s="212">
        <v>1.6E-2</v>
      </c>
      <c r="M29" s="367">
        <v>13.66</v>
      </c>
      <c r="N29" s="213">
        <v>4.8600000000000003</v>
      </c>
      <c r="O29" s="213">
        <v>8.77</v>
      </c>
      <c r="P29" s="212">
        <v>9.2999999999999999E-2</v>
      </c>
    </row>
    <row r="30" spans="6:16" x14ac:dyDescent="0.25">
      <c r="F30" t="s">
        <v>920</v>
      </c>
      <c r="H30" t="s">
        <v>772</v>
      </c>
      <c r="J30" s="212">
        <v>8.0129999999999999</v>
      </c>
      <c r="K30" s="212">
        <v>0.28499999999999998</v>
      </c>
      <c r="L30" s="212">
        <v>1.6E-2</v>
      </c>
      <c r="M30" s="367">
        <v>650.26</v>
      </c>
      <c r="N30" s="213">
        <v>4.8600000000000003</v>
      </c>
      <c r="O30" s="213">
        <v>8.77</v>
      </c>
      <c r="P30" s="212">
        <v>9.2999999999999999E-2</v>
      </c>
    </row>
    <row r="31" spans="6:16" x14ac:dyDescent="0.25">
      <c r="F31" t="s">
        <v>921</v>
      </c>
      <c r="H31" t="s">
        <v>772</v>
      </c>
      <c r="J31" s="330">
        <v>8.0129999999999999</v>
      </c>
      <c r="K31" s="330">
        <v>0.28499999999999998</v>
      </c>
      <c r="L31" s="330">
        <v>1.6E-2</v>
      </c>
      <c r="M31" s="368">
        <v>1172.6099999999999</v>
      </c>
      <c r="N31" s="331">
        <v>4.8600000000000003</v>
      </c>
      <c r="O31" s="331">
        <v>8.77</v>
      </c>
      <c r="P31" s="330">
        <v>9.2999999999999999E-2</v>
      </c>
    </row>
    <row r="32" spans="6:16" x14ac:dyDescent="0.25">
      <c r="F32" t="s">
        <v>922</v>
      </c>
      <c r="H32" t="s">
        <v>772</v>
      </c>
      <c r="J32" s="330">
        <v>8.0129999999999999</v>
      </c>
      <c r="K32" s="330">
        <v>0.28499999999999998</v>
      </c>
      <c r="L32" s="330">
        <v>1.6E-2</v>
      </c>
      <c r="M32" s="368">
        <v>1805</v>
      </c>
      <c r="N32" s="331">
        <v>4.8600000000000003</v>
      </c>
      <c r="O32" s="331">
        <v>8.77</v>
      </c>
      <c r="P32" s="330">
        <v>9.2999999999999999E-2</v>
      </c>
    </row>
    <row r="33" spans="6:16" x14ac:dyDescent="0.25">
      <c r="F33" t="s">
        <v>923</v>
      </c>
      <c r="H33" t="s">
        <v>772</v>
      </c>
      <c r="J33" s="330">
        <v>8.0129999999999999</v>
      </c>
      <c r="K33" s="330">
        <v>0.28499999999999998</v>
      </c>
      <c r="L33" s="330">
        <v>1.6E-2</v>
      </c>
      <c r="M33" s="368">
        <v>3822.41</v>
      </c>
      <c r="N33" s="331">
        <v>4.8600000000000003</v>
      </c>
      <c r="O33" s="331">
        <v>8.77</v>
      </c>
      <c r="P33" s="330">
        <v>9.2999999999999999E-2</v>
      </c>
    </row>
    <row r="34" spans="6:16" x14ac:dyDescent="0.25">
      <c r="F34" t="s">
        <v>924</v>
      </c>
      <c r="H34" t="s">
        <v>772</v>
      </c>
      <c r="J34" s="330">
        <v>5.6470000000000002</v>
      </c>
      <c r="K34" s="330">
        <v>0.153</v>
      </c>
      <c r="L34" s="330">
        <v>6.0000000000000001E-3</v>
      </c>
      <c r="M34" s="368">
        <v>120.17</v>
      </c>
      <c r="N34" s="331">
        <v>4.09</v>
      </c>
      <c r="O34" s="331">
        <v>8.44</v>
      </c>
      <c r="P34" s="330">
        <v>6.0999999999999999E-2</v>
      </c>
    </row>
    <row r="35" spans="6:16" x14ac:dyDescent="0.25">
      <c r="F35" t="s">
        <v>925</v>
      </c>
      <c r="H35" t="s">
        <v>772</v>
      </c>
      <c r="J35" s="330">
        <v>5.6470000000000002</v>
      </c>
      <c r="K35" s="330">
        <v>0.153</v>
      </c>
      <c r="L35" s="330">
        <v>6.0000000000000001E-3</v>
      </c>
      <c r="M35" s="368">
        <v>3900.97</v>
      </c>
      <c r="N35" s="331">
        <v>4.09</v>
      </c>
      <c r="O35" s="331">
        <v>8.44</v>
      </c>
      <c r="P35" s="330">
        <v>6.0999999999999999E-2</v>
      </c>
    </row>
    <row r="36" spans="6:16" x14ac:dyDescent="0.25">
      <c r="F36" t="s">
        <v>926</v>
      </c>
      <c r="H36" t="s">
        <v>772</v>
      </c>
      <c r="J36" s="330">
        <v>5.6470000000000002</v>
      </c>
      <c r="K36" s="330">
        <v>0.153</v>
      </c>
      <c r="L36" s="330">
        <v>6.0000000000000001E-3</v>
      </c>
      <c r="M36" s="368">
        <v>9478.2099999999991</v>
      </c>
      <c r="N36" s="331">
        <v>4.09</v>
      </c>
      <c r="O36" s="331">
        <v>8.44</v>
      </c>
      <c r="P36" s="330">
        <v>6.0999999999999999E-2</v>
      </c>
    </row>
    <row r="37" spans="6:16" x14ac:dyDescent="0.25">
      <c r="F37" t="s">
        <v>927</v>
      </c>
      <c r="H37" t="s">
        <v>772</v>
      </c>
      <c r="J37" s="330">
        <v>5.6470000000000002</v>
      </c>
      <c r="K37" s="330">
        <v>0.153</v>
      </c>
      <c r="L37" s="330">
        <v>6.0000000000000001E-3</v>
      </c>
      <c r="M37" s="368">
        <v>20867.59</v>
      </c>
      <c r="N37" s="331">
        <v>4.09</v>
      </c>
      <c r="O37" s="331">
        <v>8.44</v>
      </c>
      <c r="P37" s="330">
        <v>6.0999999999999999E-2</v>
      </c>
    </row>
    <row r="38" spans="6:16" x14ac:dyDescent="0.25">
      <c r="F38" t="s">
        <v>928</v>
      </c>
      <c r="H38" t="s">
        <v>772</v>
      </c>
      <c r="J38" s="330">
        <v>5.6470000000000002</v>
      </c>
      <c r="K38" s="330">
        <v>0.153</v>
      </c>
      <c r="L38" s="330">
        <v>6.0000000000000001E-3</v>
      </c>
      <c r="M38" s="368">
        <v>52576.94</v>
      </c>
      <c r="N38" s="331">
        <v>4.09</v>
      </c>
      <c r="O38" s="331">
        <v>8.44</v>
      </c>
      <c r="P38" s="330">
        <v>6.0999999999999999E-2</v>
      </c>
    </row>
    <row r="39" spans="6:16" x14ac:dyDescent="0.25">
      <c r="F39" t="s">
        <v>839</v>
      </c>
      <c r="H39" t="s">
        <v>772</v>
      </c>
      <c r="J39" s="330">
        <v>44.210999999999999</v>
      </c>
      <c r="K39" s="330">
        <v>4.4939999999999998</v>
      </c>
      <c r="L39" s="330">
        <v>3.601</v>
      </c>
      <c r="M39" s="368">
        <v>0</v>
      </c>
      <c r="N39" s="331">
        <v>0</v>
      </c>
      <c r="O39" s="331">
        <v>0</v>
      </c>
      <c r="P39" s="330">
        <v>0</v>
      </c>
    </row>
    <row r="40" spans="6:16" x14ac:dyDescent="0.25">
      <c r="F40" t="s">
        <v>831</v>
      </c>
      <c r="H40" t="s">
        <v>772</v>
      </c>
      <c r="J40" s="330">
        <v>-10.4</v>
      </c>
      <c r="K40" s="330">
        <v>-0.52</v>
      </c>
      <c r="L40" s="330">
        <v>-3.6999999999999998E-2</v>
      </c>
      <c r="M40" s="368">
        <v>0</v>
      </c>
      <c r="N40" s="331">
        <v>0</v>
      </c>
      <c r="O40" s="331">
        <v>0</v>
      </c>
      <c r="P40" s="330">
        <v>0</v>
      </c>
    </row>
    <row r="41" spans="6:16" x14ac:dyDescent="0.25">
      <c r="F41" t="s">
        <v>832</v>
      </c>
      <c r="H41" t="s">
        <v>772</v>
      </c>
      <c r="J41" s="330">
        <v>-9.3209999999999997</v>
      </c>
      <c r="K41" s="330">
        <v>-0.44</v>
      </c>
      <c r="L41" s="330">
        <v>-0.03</v>
      </c>
      <c r="M41" s="368">
        <v>0</v>
      </c>
      <c r="N41" s="331">
        <v>0</v>
      </c>
      <c r="O41" s="331">
        <v>0</v>
      </c>
      <c r="P41" s="330">
        <v>0</v>
      </c>
    </row>
    <row r="42" spans="6:16" x14ac:dyDescent="0.25">
      <c r="F42" t="s">
        <v>833</v>
      </c>
      <c r="H42" t="s">
        <v>772</v>
      </c>
      <c r="J42" s="330">
        <v>-10.4</v>
      </c>
      <c r="K42" s="330">
        <v>-0.52</v>
      </c>
      <c r="L42" s="330">
        <v>-3.6999999999999998E-2</v>
      </c>
      <c r="M42" s="368">
        <v>0</v>
      </c>
      <c r="N42" s="331">
        <v>0</v>
      </c>
      <c r="O42" s="331">
        <v>0</v>
      </c>
      <c r="P42" s="330">
        <v>0.153</v>
      </c>
    </row>
    <row r="43" spans="6:16" x14ac:dyDescent="0.25">
      <c r="F43" t="s">
        <v>842</v>
      </c>
      <c r="H43" t="s">
        <v>772</v>
      </c>
      <c r="J43" s="330">
        <v>-10.4</v>
      </c>
      <c r="K43" s="330">
        <v>-0.52</v>
      </c>
      <c r="L43" s="330">
        <v>-3.6999999999999998E-2</v>
      </c>
      <c r="M43" s="368">
        <v>0</v>
      </c>
      <c r="N43" s="331">
        <v>0</v>
      </c>
      <c r="O43" s="331">
        <v>0</v>
      </c>
      <c r="P43" s="330">
        <v>0</v>
      </c>
    </row>
    <row r="44" spans="6:16" x14ac:dyDescent="0.25">
      <c r="F44" t="s">
        <v>834</v>
      </c>
      <c r="H44" t="s">
        <v>772</v>
      </c>
      <c r="J44" s="330">
        <v>-9.3209999999999997</v>
      </c>
      <c r="K44" s="330">
        <v>-0.44</v>
      </c>
      <c r="L44" s="330">
        <v>-0.03</v>
      </c>
      <c r="M44" s="368">
        <v>0</v>
      </c>
      <c r="N44" s="331">
        <v>0</v>
      </c>
      <c r="O44" s="331">
        <v>0</v>
      </c>
      <c r="P44" s="330">
        <v>0.12</v>
      </c>
    </row>
    <row r="45" spans="6:16" x14ac:dyDescent="0.25">
      <c r="F45" t="s">
        <v>841</v>
      </c>
      <c r="H45" t="s">
        <v>772</v>
      </c>
      <c r="J45" s="330">
        <v>-9.3209999999999997</v>
      </c>
      <c r="K45" s="330">
        <v>-0.44</v>
      </c>
      <c r="L45" s="330">
        <v>-0.03</v>
      </c>
      <c r="M45" s="368">
        <v>0</v>
      </c>
      <c r="N45" s="331">
        <v>0</v>
      </c>
      <c r="O45" s="331">
        <v>0</v>
      </c>
      <c r="P45" s="330">
        <v>0</v>
      </c>
    </row>
    <row r="46" spans="6:16" x14ac:dyDescent="0.25">
      <c r="F46" t="s">
        <v>835</v>
      </c>
      <c r="H46" t="s">
        <v>772</v>
      </c>
      <c r="J46" s="330">
        <v>-5.9269999999999996</v>
      </c>
      <c r="K46" s="330">
        <v>-0.191</v>
      </c>
      <c r="L46" s="330">
        <v>-0.01</v>
      </c>
      <c r="M46" s="368">
        <v>74.760000000000005</v>
      </c>
      <c r="N46" s="331">
        <v>0</v>
      </c>
      <c r="O46" s="331">
        <v>0</v>
      </c>
      <c r="P46" s="330">
        <v>9.0999999999999998E-2</v>
      </c>
    </row>
    <row r="47" spans="6:16" x14ac:dyDescent="0.25">
      <c r="F47" s="28" t="s">
        <v>840</v>
      </c>
      <c r="G47" s="28"/>
      <c r="H47" s="28" t="s">
        <v>772</v>
      </c>
      <c r="I47" s="28"/>
      <c r="J47" s="214">
        <v>-5.9269999999999996</v>
      </c>
      <c r="K47" s="214">
        <v>-0.191</v>
      </c>
      <c r="L47" s="214">
        <v>-0.01</v>
      </c>
      <c r="M47" s="369">
        <v>74.760000000000005</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9.2420000000000009</v>
      </c>
      <c r="K50" s="210">
        <v>0.46200000000000002</v>
      </c>
      <c r="L50" s="210">
        <v>3.3000000000000002E-2</v>
      </c>
      <c r="M50" s="366">
        <v>18.29</v>
      </c>
      <c r="N50" s="211">
        <v>0</v>
      </c>
      <c r="O50" s="211">
        <v>0</v>
      </c>
      <c r="P50" s="210">
        <v>0</v>
      </c>
    </row>
    <row r="51" spans="4:16" x14ac:dyDescent="0.25">
      <c r="F51" t="s">
        <v>829</v>
      </c>
      <c r="H51" t="s">
        <v>447</v>
      </c>
      <c r="J51" s="212">
        <v>9.2420000000000009</v>
      </c>
      <c r="K51" s="212">
        <v>0.46200000000000002</v>
      </c>
      <c r="L51" s="212">
        <v>3.3000000000000002E-2</v>
      </c>
      <c r="M51" s="367">
        <v>0</v>
      </c>
      <c r="N51" s="213">
        <v>0</v>
      </c>
      <c r="O51" s="213">
        <v>0</v>
      </c>
      <c r="P51" s="212">
        <v>0</v>
      </c>
    </row>
    <row r="52" spans="4:16" x14ac:dyDescent="0.25">
      <c r="F52" t="s">
        <v>909</v>
      </c>
      <c r="H52" t="s">
        <v>447</v>
      </c>
      <c r="J52" s="212">
        <v>9.907</v>
      </c>
      <c r="K52" s="212">
        <v>0.495</v>
      </c>
      <c r="L52" s="212">
        <v>3.5000000000000003E-2</v>
      </c>
      <c r="M52" s="367">
        <v>7.98</v>
      </c>
      <c r="N52" s="213">
        <v>0</v>
      </c>
      <c r="O52" s="213">
        <v>0</v>
      </c>
      <c r="P52" s="212">
        <v>0</v>
      </c>
    </row>
    <row r="53" spans="4:16" x14ac:dyDescent="0.25">
      <c r="F53" t="s">
        <v>910</v>
      </c>
      <c r="H53" t="s">
        <v>447</v>
      </c>
      <c r="J53" s="212">
        <v>9.907</v>
      </c>
      <c r="K53" s="212">
        <v>0.495</v>
      </c>
      <c r="L53" s="212">
        <v>3.5000000000000003E-2</v>
      </c>
      <c r="M53" s="367">
        <v>13.02</v>
      </c>
      <c r="N53" s="213">
        <v>0</v>
      </c>
      <c r="O53" s="213">
        <v>0</v>
      </c>
      <c r="P53" s="212">
        <v>0</v>
      </c>
    </row>
    <row r="54" spans="4:16" x14ac:dyDescent="0.25">
      <c r="F54" t="s">
        <v>911</v>
      </c>
      <c r="H54" t="s">
        <v>447</v>
      </c>
      <c r="J54" s="212">
        <v>9.907</v>
      </c>
      <c r="K54" s="212">
        <v>0.495</v>
      </c>
      <c r="L54" s="212">
        <v>3.5000000000000003E-2</v>
      </c>
      <c r="M54" s="367">
        <v>37.68</v>
      </c>
      <c r="N54" s="213">
        <v>0</v>
      </c>
      <c r="O54" s="213">
        <v>0</v>
      </c>
      <c r="P54" s="212">
        <v>0</v>
      </c>
    </row>
    <row r="55" spans="4:16" x14ac:dyDescent="0.25">
      <c r="F55" t="s">
        <v>912</v>
      </c>
      <c r="H55" t="s">
        <v>447</v>
      </c>
      <c r="J55" s="212">
        <v>9.907</v>
      </c>
      <c r="K55" s="212">
        <v>0.495</v>
      </c>
      <c r="L55" s="212">
        <v>3.5000000000000003E-2</v>
      </c>
      <c r="M55" s="367">
        <v>79.23</v>
      </c>
      <c r="N55" s="213">
        <v>0</v>
      </c>
      <c r="O55" s="213">
        <v>0</v>
      </c>
      <c r="P55" s="212">
        <v>0</v>
      </c>
    </row>
    <row r="56" spans="4:16" x14ac:dyDescent="0.25">
      <c r="F56" t="s">
        <v>913</v>
      </c>
      <c r="H56" t="s">
        <v>447</v>
      </c>
      <c r="J56" s="212">
        <v>9.907</v>
      </c>
      <c r="K56" s="212">
        <v>0.495</v>
      </c>
      <c r="L56" s="212">
        <v>3.5000000000000003E-2</v>
      </c>
      <c r="M56" s="367">
        <v>240.36</v>
      </c>
      <c r="N56" s="213">
        <v>0</v>
      </c>
      <c r="O56" s="213">
        <v>0</v>
      </c>
      <c r="P56" s="212">
        <v>0</v>
      </c>
    </row>
    <row r="57" spans="4:16" x14ac:dyDescent="0.25">
      <c r="F57" t="s">
        <v>830</v>
      </c>
      <c r="H57" t="s">
        <v>447</v>
      </c>
      <c r="J57" s="212">
        <v>9.907</v>
      </c>
      <c r="K57" s="212">
        <v>0.495</v>
      </c>
      <c r="L57" s="212">
        <v>3.5000000000000003E-2</v>
      </c>
      <c r="M57" s="367">
        <v>0</v>
      </c>
      <c r="N57" s="213">
        <v>0</v>
      </c>
      <c r="O57" s="213">
        <v>0</v>
      </c>
      <c r="P57" s="212">
        <v>0</v>
      </c>
    </row>
    <row r="58" spans="4:16" x14ac:dyDescent="0.25">
      <c r="F58" t="s">
        <v>914</v>
      </c>
      <c r="H58" t="s">
        <v>447</v>
      </c>
      <c r="J58" s="212">
        <v>6.6929999999999996</v>
      </c>
      <c r="K58" s="212">
        <v>0.30399999999999999</v>
      </c>
      <c r="L58" s="212">
        <v>0.02</v>
      </c>
      <c r="M58" s="367">
        <v>10.82</v>
      </c>
      <c r="N58" s="213">
        <v>3.15</v>
      </c>
      <c r="O58" s="213">
        <v>6.18</v>
      </c>
      <c r="P58" s="212">
        <v>8.7999999999999995E-2</v>
      </c>
    </row>
    <row r="59" spans="4:16" x14ac:dyDescent="0.25">
      <c r="F59" t="s">
        <v>915</v>
      </c>
      <c r="H59" t="s">
        <v>447</v>
      </c>
      <c r="J59" s="212">
        <v>6.6929999999999996</v>
      </c>
      <c r="K59" s="212">
        <v>0.30399999999999999</v>
      </c>
      <c r="L59" s="212">
        <v>0.02</v>
      </c>
      <c r="M59" s="367">
        <v>398.78</v>
      </c>
      <c r="N59" s="213">
        <v>3.15</v>
      </c>
      <c r="O59" s="213">
        <v>6.18</v>
      </c>
      <c r="P59" s="212">
        <v>8.7999999999999995E-2</v>
      </c>
    </row>
    <row r="60" spans="4:16" x14ac:dyDescent="0.25">
      <c r="F60" t="s">
        <v>916</v>
      </c>
      <c r="H60" t="s">
        <v>447</v>
      </c>
      <c r="J60" s="212">
        <v>6.6929999999999996</v>
      </c>
      <c r="K60" s="212">
        <v>0.30399999999999999</v>
      </c>
      <c r="L60" s="212">
        <v>0.02</v>
      </c>
      <c r="M60" s="367">
        <v>717.11</v>
      </c>
      <c r="N60" s="213">
        <v>3.15</v>
      </c>
      <c r="O60" s="213">
        <v>6.18</v>
      </c>
      <c r="P60" s="212">
        <v>8.7999999999999995E-2</v>
      </c>
    </row>
    <row r="61" spans="4:16" x14ac:dyDescent="0.25">
      <c r="F61" t="s">
        <v>917</v>
      </c>
      <c r="H61" t="s">
        <v>447</v>
      </c>
      <c r="J61" s="212">
        <v>6.6929999999999996</v>
      </c>
      <c r="K61" s="212">
        <v>0.30399999999999999</v>
      </c>
      <c r="L61" s="212">
        <v>0.02</v>
      </c>
      <c r="M61" s="367">
        <v>1102.5</v>
      </c>
      <c r="N61" s="213">
        <v>3.15</v>
      </c>
      <c r="O61" s="213">
        <v>6.18</v>
      </c>
      <c r="P61" s="212">
        <v>8.7999999999999995E-2</v>
      </c>
    </row>
    <row r="62" spans="4:16" x14ac:dyDescent="0.25">
      <c r="F62" t="s">
        <v>918</v>
      </c>
      <c r="H62" t="s">
        <v>447</v>
      </c>
      <c r="J62" s="212">
        <v>6.6929999999999996</v>
      </c>
      <c r="K62" s="212">
        <v>0.30399999999999999</v>
      </c>
      <c r="L62" s="212">
        <v>0.02</v>
      </c>
      <c r="M62" s="367">
        <v>2331.9499999999998</v>
      </c>
      <c r="N62" s="213">
        <v>3.15</v>
      </c>
      <c r="O62" s="213">
        <v>6.18</v>
      </c>
      <c r="P62" s="212">
        <v>8.7999999999999995E-2</v>
      </c>
    </row>
    <row r="63" spans="4:16" x14ac:dyDescent="0.25">
      <c r="F63" t="s">
        <v>919</v>
      </c>
      <c r="H63" t="s">
        <v>447</v>
      </c>
      <c r="J63" s="217">
        <v>0</v>
      </c>
      <c r="K63" s="217">
        <v>0</v>
      </c>
      <c r="L63" s="217">
        <v>0</v>
      </c>
      <c r="M63" s="379">
        <v>0</v>
      </c>
      <c r="N63" s="333">
        <v>0</v>
      </c>
      <c r="O63" s="333">
        <v>0</v>
      </c>
      <c r="P63" s="217">
        <v>0</v>
      </c>
    </row>
    <row r="64" spans="4:16" x14ac:dyDescent="0.25">
      <c r="F64" t="s">
        <v>920</v>
      </c>
      <c r="H64" t="s">
        <v>447</v>
      </c>
      <c r="J64" s="217">
        <v>0</v>
      </c>
      <c r="K64" s="217">
        <v>0</v>
      </c>
      <c r="L64" s="217">
        <v>0</v>
      </c>
      <c r="M64" s="379">
        <v>0</v>
      </c>
      <c r="N64" s="333">
        <v>0</v>
      </c>
      <c r="O64" s="333">
        <v>0</v>
      </c>
      <c r="P64" s="217">
        <v>0</v>
      </c>
    </row>
    <row r="65" spans="6:16" x14ac:dyDescent="0.25">
      <c r="F65" t="s">
        <v>921</v>
      </c>
      <c r="H65" t="s">
        <v>447</v>
      </c>
      <c r="J65" s="332">
        <v>0</v>
      </c>
      <c r="K65" s="332">
        <v>0</v>
      </c>
      <c r="L65" s="332">
        <v>0</v>
      </c>
      <c r="M65" s="380">
        <v>0</v>
      </c>
      <c r="N65" s="334">
        <v>0</v>
      </c>
      <c r="O65" s="334">
        <v>0</v>
      </c>
      <c r="P65" s="332">
        <v>0</v>
      </c>
    </row>
    <row r="66" spans="6:16" x14ac:dyDescent="0.25">
      <c r="F66" t="s">
        <v>922</v>
      </c>
      <c r="H66" t="s">
        <v>447</v>
      </c>
      <c r="J66" s="332">
        <v>0</v>
      </c>
      <c r="K66" s="332">
        <v>0</v>
      </c>
      <c r="L66" s="332">
        <v>0</v>
      </c>
      <c r="M66" s="380">
        <v>0</v>
      </c>
      <c r="N66" s="334">
        <v>0</v>
      </c>
      <c r="O66" s="334">
        <v>0</v>
      </c>
      <c r="P66" s="332">
        <v>0</v>
      </c>
    </row>
    <row r="67" spans="6:16" x14ac:dyDescent="0.25">
      <c r="F67" t="s">
        <v>923</v>
      </c>
      <c r="H67" t="s">
        <v>447</v>
      </c>
      <c r="J67" s="332">
        <v>0</v>
      </c>
      <c r="K67" s="332">
        <v>0</v>
      </c>
      <c r="L67" s="332">
        <v>0</v>
      </c>
      <c r="M67" s="380">
        <v>0</v>
      </c>
      <c r="N67" s="334">
        <v>0</v>
      </c>
      <c r="O67" s="334">
        <v>0</v>
      </c>
      <c r="P67" s="332">
        <v>0</v>
      </c>
    </row>
    <row r="68" spans="6:16" x14ac:dyDescent="0.25">
      <c r="F68" t="s">
        <v>924</v>
      </c>
      <c r="H68" t="s">
        <v>447</v>
      </c>
      <c r="J68" s="332">
        <v>0</v>
      </c>
      <c r="K68" s="332">
        <v>0</v>
      </c>
      <c r="L68" s="332">
        <v>0</v>
      </c>
      <c r="M68" s="380">
        <v>0</v>
      </c>
      <c r="N68" s="334">
        <v>0</v>
      </c>
      <c r="O68" s="334">
        <v>0</v>
      </c>
      <c r="P68" s="332">
        <v>0</v>
      </c>
    </row>
    <row r="69" spans="6:16" x14ac:dyDescent="0.25">
      <c r="F69" t="s">
        <v>925</v>
      </c>
      <c r="H69" t="s">
        <v>447</v>
      </c>
      <c r="J69" s="332">
        <v>0</v>
      </c>
      <c r="K69" s="332">
        <v>0</v>
      </c>
      <c r="L69" s="332">
        <v>0</v>
      </c>
      <c r="M69" s="380">
        <v>0</v>
      </c>
      <c r="N69" s="334">
        <v>0</v>
      </c>
      <c r="O69" s="334">
        <v>0</v>
      </c>
      <c r="P69" s="332">
        <v>0</v>
      </c>
    </row>
    <row r="70" spans="6:16" x14ac:dyDescent="0.25">
      <c r="F70" t="s">
        <v>926</v>
      </c>
      <c r="H70" t="s">
        <v>447</v>
      </c>
      <c r="J70" s="332">
        <v>0</v>
      </c>
      <c r="K70" s="332">
        <v>0</v>
      </c>
      <c r="L70" s="332">
        <v>0</v>
      </c>
      <c r="M70" s="380">
        <v>0</v>
      </c>
      <c r="N70" s="334">
        <v>0</v>
      </c>
      <c r="O70" s="334">
        <v>0</v>
      </c>
      <c r="P70" s="332">
        <v>0</v>
      </c>
    </row>
    <row r="71" spans="6:16" x14ac:dyDescent="0.25">
      <c r="F71" t="s">
        <v>927</v>
      </c>
      <c r="H71" t="s">
        <v>447</v>
      </c>
      <c r="J71" s="332">
        <v>0</v>
      </c>
      <c r="K71" s="332">
        <v>0</v>
      </c>
      <c r="L71" s="332">
        <v>0</v>
      </c>
      <c r="M71" s="380">
        <v>0</v>
      </c>
      <c r="N71" s="334">
        <v>0</v>
      </c>
      <c r="O71" s="334">
        <v>0</v>
      </c>
      <c r="P71" s="332">
        <v>0</v>
      </c>
    </row>
    <row r="72" spans="6:16" x14ac:dyDescent="0.25">
      <c r="F72" t="s">
        <v>928</v>
      </c>
      <c r="H72" t="s">
        <v>447</v>
      </c>
      <c r="J72" s="332">
        <v>0</v>
      </c>
      <c r="K72" s="332">
        <v>0</v>
      </c>
      <c r="L72" s="332">
        <v>0</v>
      </c>
      <c r="M72" s="380">
        <v>0</v>
      </c>
      <c r="N72" s="334">
        <v>0</v>
      </c>
      <c r="O72" s="334">
        <v>0</v>
      </c>
      <c r="P72" s="332">
        <v>0</v>
      </c>
    </row>
    <row r="73" spans="6:16" x14ac:dyDescent="0.25">
      <c r="F73" t="s">
        <v>839</v>
      </c>
      <c r="H73" t="s">
        <v>447</v>
      </c>
      <c r="J73" s="330">
        <v>26.943000000000001</v>
      </c>
      <c r="K73" s="330">
        <v>2.7389999999999999</v>
      </c>
      <c r="L73" s="330">
        <v>2.1949999999999998</v>
      </c>
      <c r="M73" s="368">
        <v>0</v>
      </c>
      <c r="N73" s="331">
        <v>0</v>
      </c>
      <c r="O73" s="331">
        <v>0</v>
      </c>
      <c r="P73" s="330">
        <v>0</v>
      </c>
    </row>
    <row r="74" spans="6:16" x14ac:dyDescent="0.25">
      <c r="F74" t="s">
        <v>831</v>
      </c>
      <c r="H74" t="s">
        <v>447</v>
      </c>
      <c r="J74" s="330">
        <v>-10.4</v>
      </c>
      <c r="K74" s="330">
        <v>-0.52</v>
      </c>
      <c r="L74" s="330">
        <v>-3.6999999999999998E-2</v>
      </c>
      <c r="M74" s="368">
        <v>0</v>
      </c>
      <c r="N74" s="331">
        <v>0</v>
      </c>
      <c r="O74" s="331">
        <v>0</v>
      </c>
      <c r="P74" s="330">
        <v>0</v>
      </c>
    </row>
    <row r="75" spans="6:16" x14ac:dyDescent="0.25">
      <c r="F75" t="s">
        <v>832</v>
      </c>
      <c r="H75" t="s">
        <v>447</v>
      </c>
      <c r="J75" s="332">
        <v>0</v>
      </c>
      <c r="K75" s="332">
        <v>0</v>
      </c>
      <c r="L75" s="332">
        <v>0</v>
      </c>
      <c r="M75" s="380">
        <v>0</v>
      </c>
      <c r="N75" s="334">
        <v>0</v>
      </c>
      <c r="O75" s="334">
        <v>0</v>
      </c>
      <c r="P75" s="332">
        <v>0</v>
      </c>
    </row>
    <row r="76" spans="6:16" x14ac:dyDescent="0.25">
      <c r="F76" t="s">
        <v>833</v>
      </c>
      <c r="H76" t="s">
        <v>447</v>
      </c>
      <c r="J76" s="330">
        <v>-10.4</v>
      </c>
      <c r="K76" s="330">
        <v>-0.52</v>
      </c>
      <c r="L76" s="330">
        <v>-3.6999999999999998E-2</v>
      </c>
      <c r="M76" s="368">
        <v>0</v>
      </c>
      <c r="N76" s="331">
        <v>0</v>
      </c>
      <c r="O76" s="331">
        <v>0</v>
      </c>
      <c r="P76" s="330">
        <v>0.153</v>
      </c>
    </row>
    <row r="77" spans="6:16" x14ac:dyDescent="0.25">
      <c r="F77" t="s">
        <v>842</v>
      </c>
      <c r="H77" t="s">
        <v>447</v>
      </c>
      <c r="J77" s="332">
        <v>0</v>
      </c>
      <c r="K77" s="332">
        <v>0</v>
      </c>
      <c r="L77" s="332">
        <v>0</v>
      </c>
      <c r="M77" s="380">
        <v>0</v>
      </c>
      <c r="N77" s="334">
        <v>0</v>
      </c>
      <c r="O77" s="334">
        <v>0</v>
      </c>
      <c r="P77" s="332">
        <v>0</v>
      </c>
    </row>
    <row r="78" spans="6:16" x14ac:dyDescent="0.25">
      <c r="F78" t="s">
        <v>834</v>
      </c>
      <c r="H78" t="s">
        <v>447</v>
      </c>
      <c r="J78" s="332">
        <v>0</v>
      </c>
      <c r="K78" s="332">
        <v>0</v>
      </c>
      <c r="L78" s="332">
        <v>0</v>
      </c>
      <c r="M78" s="380">
        <v>0</v>
      </c>
      <c r="N78" s="334">
        <v>0</v>
      </c>
      <c r="O78" s="334">
        <v>0</v>
      </c>
      <c r="P78" s="332">
        <v>0</v>
      </c>
    </row>
    <row r="79" spans="6:16" x14ac:dyDescent="0.25">
      <c r="F79" t="s">
        <v>841</v>
      </c>
      <c r="H79" t="s">
        <v>447</v>
      </c>
      <c r="J79" s="332">
        <v>0</v>
      </c>
      <c r="K79" s="332">
        <v>0</v>
      </c>
      <c r="L79" s="332">
        <v>0</v>
      </c>
      <c r="M79" s="380">
        <v>0</v>
      </c>
      <c r="N79" s="334">
        <v>0</v>
      </c>
      <c r="O79" s="334">
        <v>0</v>
      </c>
      <c r="P79" s="332">
        <v>0</v>
      </c>
    </row>
    <row r="80" spans="6:16" x14ac:dyDescent="0.25">
      <c r="F80" t="s">
        <v>835</v>
      </c>
      <c r="H80" t="s">
        <v>447</v>
      </c>
      <c r="J80" s="332">
        <v>0</v>
      </c>
      <c r="K80" s="332">
        <v>0</v>
      </c>
      <c r="L80" s="332">
        <v>0</v>
      </c>
      <c r="M80" s="380">
        <v>0</v>
      </c>
      <c r="N80" s="334">
        <v>0</v>
      </c>
      <c r="O80" s="334">
        <v>0</v>
      </c>
      <c r="P80" s="332">
        <v>0</v>
      </c>
    </row>
    <row r="81" spans="4:16" x14ac:dyDescent="0.25">
      <c r="F81" s="28" t="s">
        <v>840</v>
      </c>
      <c r="G81" s="28"/>
      <c r="H81" s="28" t="s">
        <v>447</v>
      </c>
      <c r="I81" s="28"/>
      <c r="J81" s="218">
        <v>0</v>
      </c>
      <c r="K81" s="218">
        <v>0</v>
      </c>
      <c r="L81" s="218">
        <v>0</v>
      </c>
      <c r="M81" s="381">
        <v>0</v>
      </c>
      <c r="N81" s="335">
        <v>0</v>
      </c>
      <c r="O81" s="335">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6.3019999999999996</v>
      </c>
      <c r="K84" s="210">
        <v>0.315</v>
      </c>
      <c r="L84" s="210">
        <v>2.1999999999999999E-2</v>
      </c>
      <c r="M84" s="366">
        <v>12.76</v>
      </c>
      <c r="N84" s="211">
        <v>0</v>
      </c>
      <c r="O84" s="211">
        <v>0</v>
      </c>
      <c r="P84" s="210">
        <v>0</v>
      </c>
    </row>
    <row r="85" spans="4:16" x14ac:dyDescent="0.25">
      <c r="F85" t="s">
        <v>829</v>
      </c>
      <c r="H85" t="s">
        <v>448</v>
      </c>
      <c r="J85" s="212">
        <v>6.3019999999999996</v>
      </c>
      <c r="K85" s="212">
        <v>0.315</v>
      </c>
      <c r="L85" s="212">
        <v>2.1999999999999999E-2</v>
      </c>
      <c r="M85" s="367">
        <v>0</v>
      </c>
      <c r="N85" s="213">
        <v>0</v>
      </c>
      <c r="O85" s="213">
        <v>0</v>
      </c>
      <c r="P85" s="212">
        <v>0</v>
      </c>
    </row>
    <row r="86" spans="4:16" x14ac:dyDescent="0.25">
      <c r="F86" t="s">
        <v>909</v>
      </c>
      <c r="H86" t="s">
        <v>448</v>
      </c>
      <c r="J86" s="212">
        <v>6.7549999999999999</v>
      </c>
      <c r="K86" s="212">
        <v>0.33800000000000002</v>
      </c>
      <c r="L86" s="212">
        <v>2.4E-2</v>
      </c>
      <c r="M86" s="367">
        <v>5.67</v>
      </c>
      <c r="N86" s="213">
        <v>0</v>
      </c>
      <c r="O86" s="213">
        <v>0</v>
      </c>
      <c r="P86" s="212">
        <v>0</v>
      </c>
    </row>
    <row r="87" spans="4:16" x14ac:dyDescent="0.25">
      <c r="F87" t="s">
        <v>910</v>
      </c>
      <c r="H87" t="s">
        <v>448</v>
      </c>
      <c r="J87" s="212">
        <v>6.7549999999999999</v>
      </c>
      <c r="K87" s="212">
        <v>0.33800000000000002</v>
      </c>
      <c r="L87" s="212">
        <v>2.4E-2</v>
      </c>
      <c r="M87" s="367">
        <v>9.1</v>
      </c>
      <c r="N87" s="213">
        <v>0</v>
      </c>
      <c r="O87" s="213">
        <v>0</v>
      </c>
      <c r="P87" s="212">
        <v>0</v>
      </c>
    </row>
    <row r="88" spans="4:16" x14ac:dyDescent="0.25">
      <c r="F88" t="s">
        <v>911</v>
      </c>
      <c r="H88" t="s">
        <v>448</v>
      </c>
      <c r="J88" s="212">
        <v>6.7549999999999999</v>
      </c>
      <c r="K88" s="212">
        <v>0.33800000000000002</v>
      </c>
      <c r="L88" s="212">
        <v>2.4E-2</v>
      </c>
      <c r="M88" s="367">
        <v>25.92</v>
      </c>
      <c r="N88" s="213">
        <v>0</v>
      </c>
      <c r="O88" s="213">
        <v>0</v>
      </c>
      <c r="P88" s="212">
        <v>0</v>
      </c>
    </row>
    <row r="89" spans="4:16" x14ac:dyDescent="0.25">
      <c r="F89" t="s">
        <v>912</v>
      </c>
      <c r="H89" t="s">
        <v>448</v>
      </c>
      <c r="J89" s="212">
        <v>6.7549999999999999</v>
      </c>
      <c r="K89" s="212">
        <v>0.33800000000000002</v>
      </c>
      <c r="L89" s="212">
        <v>2.4E-2</v>
      </c>
      <c r="M89" s="367">
        <v>54.25</v>
      </c>
      <c r="N89" s="213">
        <v>0</v>
      </c>
      <c r="O89" s="213">
        <v>0</v>
      </c>
      <c r="P89" s="212">
        <v>0</v>
      </c>
    </row>
    <row r="90" spans="4:16" x14ac:dyDescent="0.25">
      <c r="F90" t="s">
        <v>913</v>
      </c>
      <c r="H90" t="s">
        <v>448</v>
      </c>
      <c r="J90" s="212">
        <v>6.7549999999999999</v>
      </c>
      <c r="K90" s="212">
        <v>0.33800000000000002</v>
      </c>
      <c r="L90" s="212">
        <v>2.4E-2</v>
      </c>
      <c r="M90" s="367">
        <v>164.12</v>
      </c>
      <c r="N90" s="213">
        <v>0</v>
      </c>
      <c r="O90" s="213">
        <v>0</v>
      </c>
      <c r="P90" s="212">
        <v>0</v>
      </c>
    </row>
    <row r="91" spans="4:16" x14ac:dyDescent="0.25">
      <c r="F91" t="s">
        <v>830</v>
      </c>
      <c r="H91" t="s">
        <v>448</v>
      </c>
      <c r="J91" s="212">
        <v>6.7549999999999999</v>
      </c>
      <c r="K91" s="212">
        <v>0.33800000000000002</v>
      </c>
      <c r="L91" s="212">
        <v>2.4E-2</v>
      </c>
      <c r="M91" s="367">
        <v>0</v>
      </c>
      <c r="N91" s="213">
        <v>0</v>
      </c>
      <c r="O91" s="213">
        <v>0</v>
      </c>
      <c r="P91" s="212">
        <v>0</v>
      </c>
    </row>
    <row r="92" spans="4:16" x14ac:dyDescent="0.25">
      <c r="F92" t="s">
        <v>914</v>
      </c>
      <c r="H92" t="s">
        <v>448</v>
      </c>
      <c r="J92" s="212">
        <v>4.5640000000000001</v>
      </c>
      <c r="K92" s="212">
        <v>0.20799999999999999</v>
      </c>
      <c r="L92" s="212">
        <v>1.4E-2</v>
      </c>
      <c r="M92" s="367">
        <v>7.61</v>
      </c>
      <c r="N92" s="213">
        <v>2.15</v>
      </c>
      <c r="O92" s="213">
        <v>4.21</v>
      </c>
      <c r="P92" s="212">
        <v>0.06</v>
      </c>
    </row>
    <row r="93" spans="4:16" x14ac:dyDescent="0.25">
      <c r="F93" t="s">
        <v>915</v>
      </c>
      <c r="H93" t="s">
        <v>448</v>
      </c>
      <c r="J93" s="212">
        <v>4.5640000000000001</v>
      </c>
      <c r="K93" s="212">
        <v>0.20799999999999999</v>
      </c>
      <c r="L93" s="212">
        <v>1.4E-2</v>
      </c>
      <c r="M93" s="367">
        <v>272.14</v>
      </c>
      <c r="N93" s="213">
        <v>2.15</v>
      </c>
      <c r="O93" s="213">
        <v>4.21</v>
      </c>
      <c r="P93" s="212">
        <v>0.06</v>
      </c>
    </row>
    <row r="94" spans="4:16" x14ac:dyDescent="0.25">
      <c r="F94" t="s">
        <v>916</v>
      </c>
      <c r="H94" t="s">
        <v>448</v>
      </c>
      <c r="J94" s="212">
        <v>4.5640000000000001</v>
      </c>
      <c r="K94" s="212">
        <v>0.20799999999999999</v>
      </c>
      <c r="L94" s="212">
        <v>1.4E-2</v>
      </c>
      <c r="M94" s="367">
        <v>489.2</v>
      </c>
      <c r="N94" s="213">
        <v>2.15</v>
      </c>
      <c r="O94" s="213">
        <v>4.21</v>
      </c>
      <c r="P94" s="212">
        <v>0.06</v>
      </c>
    </row>
    <row r="95" spans="4:16" x14ac:dyDescent="0.25">
      <c r="F95" t="s">
        <v>917</v>
      </c>
      <c r="H95" t="s">
        <v>448</v>
      </c>
      <c r="J95" s="212">
        <v>4.5640000000000001</v>
      </c>
      <c r="K95" s="212">
        <v>0.20799999999999999</v>
      </c>
      <c r="L95" s="212">
        <v>1.4E-2</v>
      </c>
      <c r="M95" s="367">
        <v>751.98</v>
      </c>
      <c r="N95" s="213">
        <v>2.15</v>
      </c>
      <c r="O95" s="213">
        <v>4.21</v>
      </c>
      <c r="P95" s="212">
        <v>0.06</v>
      </c>
    </row>
    <row r="96" spans="4:16" x14ac:dyDescent="0.25">
      <c r="F96" t="s">
        <v>918</v>
      </c>
      <c r="H96" t="s">
        <v>448</v>
      </c>
      <c r="J96" s="212">
        <v>4.5640000000000001</v>
      </c>
      <c r="K96" s="212">
        <v>0.20799999999999999</v>
      </c>
      <c r="L96" s="212">
        <v>1.4E-2</v>
      </c>
      <c r="M96" s="367">
        <v>1590.29</v>
      </c>
      <c r="N96" s="213">
        <v>2.15</v>
      </c>
      <c r="O96" s="213">
        <v>4.21</v>
      </c>
      <c r="P96" s="212">
        <v>0.06</v>
      </c>
    </row>
    <row r="97" spans="6:16" x14ac:dyDescent="0.25">
      <c r="F97" t="s">
        <v>919</v>
      </c>
      <c r="H97" t="s">
        <v>448</v>
      </c>
      <c r="J97" s="212">
        <v>5.59</v>
      </c>
      <c r="K97" s="212">
        <v>0.19900000000000001</v>
      </c>
      <c r="L97" s="212">
        <v>1.0999999999999999E-2</v>
      </c>
      <c r="M97" s="367">
        <v>9.75</v>
      </c>
      <c r="N97" s="213">
        <v>3.39</v>
      </c>
      <c r="O97" s="213">
        <v>6.12</v>
      </c>
      <c r="P97" s="212">
        <v>6.5000000000000002E-2</v>
      </c>
    </row>
    <row r="98" spans="6:16" x14ac:dyDescent="0.25">
      <c r="F98" t="s">
        <v>920</v>
      </c>
      <c r="H98" t="s">
        <v>448</v>
      </c>
      <c r="J98" s="212">
        <v>5.59</v>
      </c>
      <c r="K98" s="212">
        <v>0.19900000000000001</v>
      </c>
      <c r="L98" s="212">
        <v>1.0999999999999999E-2</v>
      </c>
      <c r="M98" s="367">
        <v>453.85</v>
      </c>
      <c r="N98" s="213">
        <v>3.39</v>
      </c>
      <c r="O98" s="213">
        <v>6.12</v>
      </c>
      <c r="P98" s="212">
        <v>6.5000000000000002E-2</v>
      </c>
    </row>
    <row r="99" spans="6:16" x14ac:dyDescent="0.25">
      <c r="F99" t="s">
        <v>921</v>
      </c>
      <c r="H99" t="s">
        <v>448</v>
      </c>
      <c r="J99" s="330">
        <v>5.59</v>
      </c>
      <c r="K99" s="330">
        <v>0.19900000000000001</v>
      </c>
      <c r="L99" s="330">
        <v>1.0999999999999999E-2</v>
      </c>
      <c r="M99" s="368">
        <v>818.26</v>
      </c>
      <c r="N99" s="331">
        <v>3.39</v>
      </c>
      <c r="O99" s="331">
        <v>6.12</v>
      </c>
      <c r="P99" s="330">
        <v>6.5000000000000002E-2</v>
      </c>
    </row>
    <row r="100" spans="6:16" x14ac:dyDescent="0.25">
      <c r="F100" t="s">
        <v>922</v>
      </c>
      <c r="H100" t="s">
        <v>448</v>
      </c>
      <c r="J100" s="330">
        <v>5.59</v>
      </c>
      <c r="K100" s="330">
        <v>0.19900000000000001</v>
      </c>
      <c r="L100" s="330">
        <v>1.0999999999999999E-2</v>
      </c>
      <c r="M100" s="368">
        <v>1259.43</v>
      </c>
      <c r="N100" s="331">
        <v>3.39</v>
      </c>
      <c r="O100" s="331">
        <v>6.12</v>
      </c>
      <c r="P100" s="330">
        <v>6.5000000000000002E-2</v>
      </c>
    </row>
    <row r="101" spans="6:16" x14ac:dyDescent="0.25">
      <c r="F101" t="s">
        <v>923</v>
      </c>
      <c r="H101" t="s">
        <v>448</v>
      </c>
      <c r="J101" s="330">
        <v>5.59</v>
      </c>
      <c r="K101" s="330">
        <v>0.19900000000000001</v>
      </c>
      <c r="L101" s="330">
        <v>1.0999999999999999E-2</v>
      </c>
      <c r="M101" s="368">
        <v>2666.82</v>
      </c>
      <c r="N101" s="331">
        <v>3.39</v>
      </c>
      <c r="O101" s="331">
        <v>6.12</v>
      </c>
      <c r="P101" s="330">
        <v>6.5000000000000002E-2</v>
      </c>
    </row>
    <row r="102" spans="6:16" x14ac:dyDescent="0.25">
      <c r="F102" t="s">
        <v>924</v>
      </c>
      <c r="H102" t="s">
        <v>448</v>
      </c>
      <c r="J102" s="330">
        <v>4.673</v>
      </c>
      <c r="K102" s="330">
        <v>0.126</v>
      </c>
      <c r="L102" s="330">
        <v>5.0000000000000001E-3</v>
      </c>
      <c r="M102" s="368">
        <v>99.57</v>
      </c>
      <c r="N102" s="331">
        <v>3.39</v>
      </c>
      <c r="O102" s="331">
        <v>6.98</v>
      </c>
      <c r="P102" s="330">
        <v>0.05</v>
      </c>
    </row>
    <row r="103" spans="6:16" x14ac:dyDescent="0.25">
      <c r="F103" t="s">
        <v>925</v>
      </c>
      <c r="H103" t="s">
        <v>448</v>
      </c>
      <c r="J103" s="330">
        <v>4.673</v>
      </c>
      <c r="K103" s="330">
        <v>0.126</v>
      </c>
      <c r="L103" s="330">
        <v>5.0000000000000001E-3</v>
      </c>
      <c r="M103" s="368">
        <v>3228.17</v>
      </c>
      <c r="N103" s="331">
        <v>3.39</v>
      </c>
      <c r="O103" s="331">
        <v>6.98</v>
      </c>
      <c r="P103" s="330">
        <v>0.05</v>
      </c>
    </row>
    <row r="104" spans="6:16" x14ac:dyDescent="0.25">
      <c r="F104" t="s">
        <v>926</v>
      </c>
      <c r="H104" t="s">
        <v>448</v>
      </c>
      <c r="J104" s="330">
        <v>4.673</v>
      </c>
      <c r="K104" s="330">
        <v>0.126</v>
      </c>
      <c r="L104" s="330">
        <v>5.0000000000000001E-3</v>
      </c>
      <c r="M104" s="368">
        <v>7843.33</v>
      </c>
      <c r="N104" s="331">
        <v>3.39</v>
      </c>
      <c r="O104" s="331">
        <v>6.98</v>
      </c>
      <c r="P104" s="330">
        <v>0.05</v>
      </c>
    </row>
    <row r="105" spans="6:16" x14ac:dyDescent="0.25">
      <c r="F105" t="s">
        <v>927</v>
      </c>
      <c r="H105" t="s">
        <v>448</v>
      </c>
      <c r="J105" s="330">
        <v>4.673</v>
      </c>
      <c r="K105" s="330">
        <v>0.126</v>
      </c>
      <c r="L105" s="330">
        <v>5.0000000000000001E-3</v>
      </c>
      <c r="M105" s="368">
        <v>17268.04</v>
      </c>
      <c r="N105" s="331">
        <v>3.39</v>
      </c>
      <c r="O105" s="331">
        <v>6.98</v>
      </c>
      <c r="P105" s="330">
        <v>0.05</v>
      </c>
    </row>
    <row r="106" spans="6:16" x14ac:dyDescent="0.25">
      <c r="F106" t="s">
        <v>928</v>
      </c>
      <c r="H106" t="s">
        <v>448</v>
      </c>
      <c r="J106" s="330">
        <v>4.673</v>
      </c>
      <c r="K106" s="330">
        <v>0.126</v>
      </c>
      <c r="L106" s="330">
        <v>5.0000000000000001E-3</v>
      </c>
      <c r="M106" s="368">
        <v>43507.5</v>
      </c>
      <c r="N106" s="331">
        <v>3.39</v>
      </c>
      <c r="O106" s="331">
        <v>6.98</v>
      </c>
      <c r="P106" s="330">
        <v>0.05</v>
      </c>
    </row>
    <row r="107" spans="6:16" x14ac:dyDescent="0.25">
      <c r="F107" t="s">
        <v>839</v>
      </c>
      <c r="H107" t="s">
        <v>448</v>
      </c>
      <c r="J107" s="330">
        <v>18.370999999999999</v>
      </c>
      <c r="K107" s="330">
        <v>1.867</v>
      </c>
      <c r="L107" s="330">
        <v>1.496</v>
      </c>
      <c r="M107" s="368">
        <v>0</v>
      </c>
      <c r="N107" s="331">
        <v>0</v>
      </c>
      <c r="O107" s="331">
        <v>0</v>
      </c>
      <c r="P107" s="330">
        <v>0</v>
      </c>
    </row>
    <row r="108" spans="6:16" x14ac:dyDescent="0.25">
      <c r="F108" t="s">
        <v>831</v>
      </c>
      <c r="H108" t="s">
        <v>448</v>
      </c>
      <c r="J108" s="330">
        <v>-10.4</v>
      </c>
      <c r="K108" s="330">
        <v>-0.52</v>
      </c>
      <c r="L108" s="330">
        <v>-3.6999999999999998E-2</v>
      </c>
      <c r="M108" s="368">
        <v>0</v>
      </c>
      <c r="N108" s="331">
        <v>0</v>
      </c>
      <c r="O108" s="331">
        <v>0</v>
      </c>
      <c r="P108" s="330">
        <v>0</v>
      </c>
    </row>
    <row r="109" spans="6:16" x14ac:dyDescent="0.25">
      <c r="F109" t="s">
        <v>832</v>
      </c>
      <c r="H109" t="s">
        <v>448</v>
      </c>
      <c r="J109" s="330">
        <v>-9.3209999999999997</v>
      </c>
      <c r="K109" s="330">
        <v>-0.44</v>
      </c>
      <c r="L109" s="330">
        <v>-0.03</v>
      </c>
      <c r="M109" s="368">
        <v>0</v>
      </c>
      <c r="N109" s="331">
        <v>0</v>
      </c>
      <c r="O109" s="331">
        <v>0</v>
      </c>
      <c r="P109" s="330">
        <v>0</v>
      </c>
    </row>
    <row r="110" spans="6:16" x14ac:dyDescent="0.25">
      <c r="F110" t="s">
        <v>833</v>
      </c>
      <c r="H110" t="s">
        <v>448</v>
      </c>
      <c r="J110" s="330">
        <v>-10.4</v>
      </c>
      <c r="K110" s="330">
        <v>-0.52</v>
      </c>
      <c r="L110" s="330">
        <v>-3.6999999999999998E-2</v>
      </c>
      <c r="M110" s="368">
        <v>0</v>
      </c>
      <c r="N110" s="331">
        <v>0</v>
      </c>
      <c r="O110" s="331">
        <v>0</v>
      </c>
      <c r="P110" s="330">
        <v>0.153</v>
      </c>
    </row>
    <row r="111" spans="6:16" x14ac:dyDescent="0.25">
      <c r="F111" t="s">
        <v>842</v>
      </c>
      <c r="H111" t="s">
        <v>448</v>
      </c>
      <c r="J111" s="332">
        <v>0</v>
      </c>
      <c r="K111" s="332">
        <v>0</v>
      </c>
      <c r="L111" s="332">
        <v>0</v>
      </c>
      <c r="M111" s="380">
        <v>0</v>
      </c>
      <c r="N111" s="334">
        <v>0</v>
      </c>
      <c r="O111" s="334">
        <v>0</v>
      </c>
      <c r="P111" s="332">
        <v>0</v>
      </c>
    </row>
    <row r="112" spans="6:16" x14ac:dyDescent="0.25">
      <c r="F112" t="s">
        <v>834</v>
      </c>
      <c r="H112" t="s">
        <v>448</v>
      </c>
      <c r="J112" s="330">
        <v>-9.3209999999999997</v>
      </c>
      <c r="K112" s="330">
        <v>-0.44</v>
      </c>
      <c r="L112" s="330">
        <v>-0.03</v>
      </c>
      <c r="M112" s="368">
        <v>0</v>
      </c>
      <c r="N112" s="331">
        <v>0</v>
      </c>
      <c r="O112" s="331">
        <v>0</v>
      </c>
      <c r="P112" s="330">
        <v>0.12</v>
      </c>
    </row>
    <row r="113" spans="2:19" x14ac:dyDescent="0.25">
      <c r="F113" t="s">
        <v>841</v>
      </c>
      <c r="H113" t="s">
        <v>448</v>
      </c>
      <c r="J113" s="332">
        <v>0</v>
      </c>
      <c r="K113" s="332">
        <v>0</v>
      </c>
      <c r="L113" s="332">
        <v>0</v>
      </c>
      <c r="M113" s="380">
        <v>0</v>
      </c>
      <c r="N113" s="334">
        <v>0</v>
      </c>
      <c r="O113" s="334">
        <v>0</v>
      </c>
      <c r="P113" s="332">
        <v>0</v>
      </c>
    </row>
    <row r="114" spans="2:19" x14ac:dyDescent="0.25">
      <c r="F114" t="s">
        <v>835</v>
      </c>
      <c r="H114" t="s">
        <v>448</v>
      </c>
      <c r="J114" s="330">
        <v>-5.9269999999999996</v>
      </c>
      <c r="K114" s="330">
        <v>-0.191</v>
      </c>
      <c r="L114" s="330">
        <v>-0.01</v>
      </c>
      <c r="M114" s="368">
        <v>0</v>
      </c>
      <c r="N114" s="331">
        <v>0</v>
      </c>
      <c r="O114" s="331">
        <v>0</v>
      </c>
      <c r="P114" s="330">
        <v>9.0999999999999998E-2</v>
      </c>
    </row>
    <row r="115" spans="2:19" x14ac:dyDescent="0.25">
      <c r="F115" s="28" t="s">
        <v>840</v>
      </c>
      <c r="G115" s="28"/>
      <c r="H115" s="28" t="s">
        <v>448</v>
      </c>
      <c r="I115" s="28"/>
      <c r="J115" s="218">
        <v>0</v>
      </c>
      <c r="K115" s="218">
        <v>0</v>
      </c>
      <c r="L115" s="218">
        <v>0</v>
      </c>
      <c r="M115" s="381">
        <v>0</v>
      </c>
      <c r="N115" s="335">
        <v>0</v>
      </c>
      <c r="O115" s="335">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232</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233</v>
      </c>
      <c r="G119" s="6" t="s">
        <v>56</v>
      </c>
      <c r="H119" s="93">
        <f t="array" ref="H119">SUM(IF(ISERROR(J16:P99), 1))</f>
        <v>0</v>
      </c>
      <c r="M119" s="219"/>
      <c r="N119" s="219"/>
      <c r="O119" s="219"/>
    </row>
    <row r="120" spans="2:19" x14ac:dyDescent="0.25">
      <c r="M120" s="219"/>
      <c r="N120" s="219"/>
      <c r="O120" s="219"/>
    </row>
    <row r="121" spans="2:19" x14ac:dyDescent="0.25">
      <c r="B121" s="25" t="s">
        <v>107</v>
      </c>
      <c r="C121" s="25"/>
      <c r="D121" s="25"/>
      <c r="E121" s="25"/>
      <c r="F121" s="25"/>
      <c r="G121" s="25"/>
      <c r="H121" s="25"/>
      <c r="I121" s="25"/>
      <c r="J121" s="25"/>
      <c r="K121" s="25"/>
      <c r="L121" s="94"/>
      <c r="M121" s="221"/>
      <c r="N121" s="221"/>
      <c r="O121" s="221"/>
      <c r="P121" s="94"/>
      <c r="Q121" s="94"/>
      <c r="R121" s="94"/>
    </row>
  </sheetData>
  <sheetProtection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18"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National Grid Electricity Distribution (South West) plc - [enter data version name]</v>
      </c>
    </row>
    <row r="3" spans="1:40" s="5" customFormat="1" x14ac:dyDescent="0.25">
      <c r="A3" s="5" t="str">
        <f>Cover!D2&amp;" - "&amp;Cover!D8&amp;" v"&amp;Cover!D10&amp;" - "&amp;Cover!D19</f>
        <v>CDCM charging model - Release for charge setting v9 - 2024/25</v>
      </c>
    </row>
    <row r="4" spans="1:40" x14ac:dyDescent="0.25">
      <c r="A4" s="11" t="str">
        <f>H84 &amp; IF(H84 = 1, " issue", " issues") &amp;" identified in checks on this sheet"</f>
        <v>0 issues identified in checks on this sheet</v>
      </c>
      <c r="B4" s="12"/>
      <c r="C4" s="12"/>
      <c r="D4" s="12"/>
      <c r="E4" s="12"/>
      <c r="F4" s="12"/>
      <c r="G4" s="12"/>
      <c r="H4" s="13"/>
      <c r="I4" s="13"/>
      <c r="J4" s="12"/>
    </row>
    <row r="5" spans="1:40" x14ac:dyDescent="0.25">
      <c r="B5" s="49" t="s">
        <v>143</v>
      </c>
      <c r="C5" s="50"/>
      <c r="D5" s="50"/>
      <c r="E5" s="50"/>
      <c r="F5" s="50"/>
      <c r="G5" s="51" t="s">
        <v>144</v>
      </c>
      <c r="H5" s="83" t="s">
        <v>145</v>
      </c>
      <c r="AN5" s="51" t="s">
        <v>146</v>
      </c>
    </row>
    <row r="7" spans="1:40" x14ac:dyDescent="0.25">
      <c r="B7" s="25" t="s">
        <v>11</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193</v>
      </c>
      <c r="G19" s="19" t="s">
        <v>278</v>
      </c>
      <c r="H19" s="222">
        <f t="array" ref="H19:H23">TRANSPOSE('Unit costs'!L108:P108)</f>
        <v>539589152.80446672</v>
      </c>
    </row>
    <row r="20" spans="2:40" x14ac:dyDescent="0.25">
      <c r="E20"/>
      <c r="F20" s="23" t="s">
        <v>194</v>
      </c>
      <c r="G20" t="s">
        <v>278</v>
      </c>
      <c r="H20" s="223">
        <v>77291547.855524078</v>
      </c>
    </row>
    <row r="21" spans="2:40" x14ac:dyDescent="0.25">
      <c r="E21"/>
      <c r="F21" s="23" t="s">
        <v>195</v>
      </c>
      <c r="G21" t="s">
        <v>278</v>
      </c>
      <c r="H21" s="223">
        <v>253138614.26488158</v>
      </c>
    </row>
    <row r="22" spans="2:40" x14ac:dyDescent="0.25">
      <c r="E22"/>
      <c r="F22" s="23" t="s">
        <v>196</v>
      </c>
      <c r="G22" t="s">
        <v>278</v>
      </c>
      <c r="H22" s="223">
        <v>239471626.01319396</v>
      </c>
    </row>
    <row r="23" spans="2:40" x14ac:dyDescent="0.25">
      <c r="E23"/>
      <c r="F23" s="57" t="s">
        <v>197</v>
      </c>
      <c r="G23" s="28" t="s">
        <v>278</v>
      </c>
      <c r="H23" s="224">
        <v>0</v>
      </c>
    </row>
    <row r="25" spans="2:40" x14ac:dyDescent="0.25">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25">
      <c r="D27" s="24" t="s">
        <v>1163</v>
      </c>
      <c r="E27"/>
    </row>
    <row r="28" spans="2:40" x14ac:dyDescent="0.25">
      <c r="D28" s="24"/>
      <c r="E28"/>
    </row>
    <row r="29" spans="2:40" x14ac:dyDescent="0.25">
      <c r="D29" s="24"/>
      <c r="E29" t="s">
        <v>321</v>
      </c>
      <c r="G29" t="str">
        <f>'General inputs'!G50</f>
        <v>£</v>
      </c>
      <c r="H29" s="359">
        <f>'General inputs'!H50</f>
        <v>4716011.1683874782</v>
      </c>
    </row>
    <row r="30" spans="2:40" x14ac:dyDescent="0.25">
      <c r="D30" s="24"/>
      <c r="E30"/>
    </row>
    <row r="31" spans="2:40" x14ac:dyDescent="0.25">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25">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25">
      <c r="D35" s="24" t="s">
        <v>897</v>
      </c>
      <c r="E35"/>
    </row>
    <row r="37" spans="3:40" ht="45" x14ac:dyDescent="0.25">
      <c r="C37" s="225"/>
      <c r="E37" s="27" t="s">
        <v>813</v>
      </c>
      <c r="J37" s="226" t="s">
        <v>908</v>
      </c>
      <c r="K37" s="226" t="s">
        <v>829</v>
      </c>
      <c r="L37" s="226" t="s">
        <v>909</v>
      </c>
      <c r="M37" s="226" t="s">
        <v>910</v>
      </c>
      <c r="N37" s="226" t="s">
        <v>911</v>
      </c>
      <c r="O37" s="226" t="s">
        <v>912</v>
      </c>
      <c r="P37" s="226" t="s">
        <v>913</v>
      </c>
      <c r="Q37" s="226" t="s">
        <v>830</v>
      </c>
      <c r="R37" s="226" t="s">
        <v>914</v>
      </c>
      <c r="S37" s="226" t="s">
        <v>915</v>
      </c>
      <c r="T37" s="226" t="s">
        <v>916</v>
      </c>
      <c r="U37" s="226" t="s">
        <v>917</v>
      </c>
      <c r="V37" s="226" t="s">
        <v>918</v>
      </c>
      <c r="W37" s="226" t="s">
        <v>919</v>
      </c>
      <c r="X37" s="226" t="s">
        <v>920</v>
      </c>
      <c r="Y37" s="226" t="s">
        <v>921</v>
      </c>
      <c r="Z37" s="226" t="s">
        <v>922</v>
      </c>
      <c r="AA37" s="226" t="s">
        <v>923</v>
      </c>
      <c r="AB37" s="226" t="s">
        <v>924</v>
      </c>
      <c r="AC37" s="226" t="s">
        <v>925</v>
      </c>
      <c r="AD37" s="226" t="s">
        <v>926</v>
      </c>
      <c r="AE37" s="226" t="s">
        <v>927</v>
      </c>
      <c r="AF37" s="226" t="s">
        <v>928</v>
      </c>
      <c r="AG37" s="226" t="s">
        <v>839</v>
      </c>
      <c r="AH37" s="226" t="s">
        <v>831</v>
      </c>
      <c r="AI37" s="226" t="s">
        <v>832</v>
      </c>
      <c r="AJ37" s="226" t="s">
        <v>833</v>
      </c>
      <c r="AK37" s="226" t="s">
        <v>834</v>
      </c>
      <c r="AL37" s="226" t="s">
        <v>835</v>
      </c>
    </row>
    <row r="38" spans="3:40" x14ac:dyDescent="0.25">
      <c r="C38" s="225"/>
      <c r="D38"/>
      <c r="F38" s="227" t="s">
        <v>157</v>
      </c>
      <c r="G38" s="227" t="s">
        <v>270</v>
      </c>
      <c r="H38" s="255" t="s">
        <v>772</v>
      </c>
      <c r="I38" s="255"/>
      <c r="J38" s="274">
        <f>Rounding!J110</f>
        <v>15.165099534575806</v>
      </c>
      <c r="K38" s="274">
        <f>Rounding!K110</f>
        <v>15.165099534575806</v>
      </c>
      <c r="L38" s="274">
        <f>Rounding!L110</f>
        <v>16.257004512876239</v>
      </c>
      <c r="M38" s="274">
        <f>Rounding!M110</f>
        <v>16.257004512876239</v>
      </c>
      <c r="N38" s="274">
        <f>Rounding!N110</f>
        <v>16.257004512876239</v>
      </c>
      <c r="O38" s="274">
        <f>Rounding!O110</f>
        <v>16.257004512876239</v>
      </c>
      <c r="P38" s="274">
        <f>Rounding!P110</f>
        <v>16.257004512876239</v>
      </c>
      <c r="Q38" s="274">
        <f>Rounding!Q110</f>
        <v>16.257004512876239</v>
      </c>
      <c r="R38" s="274">
        <f>Rounding!R110</f>
        <v>10.983038407396837</v>
      </c>
      <c r="S38" s="274">
        <f>Rounding!S110</f>
        <v>10.983038407396837</v>
      </c>
      <c r="T38" s="274">
        <f>Rounding!T110</f>
        <v>10.983038407396837</v>
      </c>
      <c r="U38" s="274">
        <f>Rounding!U110</f>
        <v>10.983038407396837</v>
      </c>
      <c r="V38" s="274">
        <f>Rounding!V110</f>
        <v>10.983038407396837</v>
      </c>
      <c r="W38" s="274">
        <f>Rounding!W110</f>
        <v>8.013422834799643</v>
      </c>
      <c r="X38" s="274">
        <f>Rounding!X110</f>
        <v>8.013422834799643</v>
      </c>
      <c r="Y38" s="274">
        <f>Rounding!Y110</f>
        <v>8.013422834799643</v>
      </c>
      <c r="Z38" s="274">
        <f>Rounding!Z110</f>
        <v>8.013422834799643</v>
      </c>
      <c r="AA38" s="274">
        <f>Rounding!AA110</f>
        <v>8.013422834799643</v>
      </c>
      <c r="AB38" s="274">
        <f>Rounding!AB110</f>
        <v>5.646996018679137</v>
      </c>
      <c r="AC38" s="274">
        <f>Rounding!AC110</f>
        <v>5.646996018679137</v>
      </c>
      <c r="AD38" s="274">
        <f>Rounding!AD110</f>
        <v>5.646996018679137</v>
      </c>
      <c r="AE38" s="274">
        <f>Rounding!AE110</f>
        <v>5.646996018679137</v>
      </c>
      <c r="AF38" s="274">
        <f>Rounding!AF110</f>
        <v>5.646996018679137</v>
      </c>
      <c r="AG38" s="274">
        <f>Rounding!AG110</f>
        <v>44.210860588807485</v>
      </c>
      <c r="AH38" s="274">
        <f>Rounding!AH110</f>
        <v>-10.399682892504964</v>
      </c>
      <c r="AI38" s="274">
        <f>Rounding!AI110</f>
        <v>-9.3206261710908951</v>
      </c>
      <c r="AJ38" s="274">
        <f>Rounding!AJ110</f>
        <v>-10.399682892504964</v>
      </c>
      <c r="AK38" s="274">
        <f>Rounding!AL110</f>
        <v>-9.3206261710908951</v>
      </c>
      <c r="AL38" s="274">
        <f>Rounding!AN110</f>
        <v>-5.9269683096045114</v>
      </c>
    </row>
    <row r="39" spans="3:40" x14ac:dyDescent="0.25">
      <c r="C39" s="225"/>
      <c r="D39"/>
      <c r="F39" s="228" t="s">
        <v>158</v>
      </c>
      <c r="G39" s="228" t="s">
        <v>270</v>
      </c>
      <c r="H39" s="256" t="s">
        <v>772</v>
      </c>
      <c r="I39" s="256"/>
      <c r="J39" s="358">
        <f>Rounding!J111</f>
        <v>0.75809611326930659</v>
      </c>
      <c r="K39" s="358">
        <f>Rounding!K111</f>
        <v>0.75809611326930659</v>
      </c>
      <c r="L39" s="358">
        <f>Rounding!L111</f>
        <v>0.81267992382865617</v>
      </c>
      <c r="M39" s="358">
        <f>Rounding!M111</f>
        <v>0.81267992382865617</v>
      </c>
      <c r="N39" s="358">
        <f>Rounding!N111</f>
        <v>0.81267992382865617</v>
      </c>
      <c r="O39" s="358">
        <f>Rounding!O111</f>
        <v>0.81267992382865617</v>
      </c>
      <c r="P39" s="358">
        <f>Rounding!P111</f>
        <v>0.81267992382865617</v>
      </c>
      <c r="Q39" s="358">
        <f>Rounding!Q111</f>
        <v>0.81267992382865617</v>
      </c>
      <c r="R39" s="358">
        <f>Rounding!R111</f>
        <v>0.49946772809417317</v>
      </c>
      <c r="S39" s="358">
        <f>Rounding!S111</f>
        <v>0.49946772809417317</v>
      </c>
      <c r="T39" s="358">
        <f>Rounding!T111</f>
        <v>0.49946772809417317</v>
      </c>
      <c r="U39" s="358">
        <f>Rounding!U111</f>
        <v>0.49946772809417317</v>
      </c>
      <c r="V39" s="358">
        <f>Rounding!V111</f>
        <v>0.49946772809417317</v>
      </c>
      <c r="W39" s="358">
        <f>Rounding!W111</f>
        <v>0.28526570901067577</v>
      </c>
      <c r="X39" s="358">
        <f>Rounding!X111</f>
        <v>0.28526570901067577</v>
      </c>
      <c r="Y39" s="358">
        <f>Rounding!Y111</f>
        <v>0.28526570901067577</v>
      </c>
      <c r="Z39" s="358">
        <f>Rounding!Z111</f>
        <v>0.28526570901067577</v>
      </c>
      <c r="AA39" s="358">
        <f>Rounding!AA111</f>
        <v>0.28526570901067577</v>
      </c>
      <c r="AB39" s="358">
        <f>Rounding!AB111</f>
        <v>0.15258463627516752</v>
      </c>
      <c r="AC39" s="358">
        <f>Rounding!AC111</f>
        <v>0.15258463627516752</v>
      </c>
      <c r="AD39" s="358">
        <f>Rounding!AD111</f>
        <v>0.15258463627516752</v>
      </c>
      <c r="AE39" s="358">
        <f>Rounding!AE111</f>
        <v>0.15258463627516752</v>
      </c>
      <c r="AF39" s="358">
        <f>Rounding!AF111</f>
        <v>0.15258463627516752</v>
      </c>
      <c r="AG39" s="358">
        <f>Rounding!AG111</f>
        <v>4.4937848329022199</v>
      </c>
      <c r="AH39" s="358">
        <f>Rounding!AH111</f>
        <v>-0.51987520174636581</v>
      </c>
      <c r="AI39" s="358">
        <f>Rounding!AI111</f>
        <v>-0.44045574218544947</v>
      </c>
      <c r="AJ39" s="358">
        <f>Rounding!AJ111</f>
        <v>-0.51987520174636581</v>
      </c>
      <c r="AK39" s="358">
        <f>Rounding!AL111</f>
        <v>-0.44045574218544947</v>
      </c>
      <c r="AL39" s="358">
        <f>Rounding!AN111</f>
        <v>-0.19140970918040676</v>
      </c>
    </row>
    <row r="40" spans="3:40" x14ac:dyDescent="0.25">
      <c r="C40" s="225"/>
      <c r="D40"/>
      <c r="F40" s="228" t="s">
        <v>159</v>
      </c>
      <c r="G40" s="228" t="s">
        <v>270</v>
      </c>
      <c r="H40" s="256" t="s">
        <v>772</v>
      </c>
      <c r="I40" s="256"/>
      <c r="J40" s="358">
        <f>Rounding!J112</f>
        <v>5.3613031602575995E-2</v>
      </c>
      <c r="K40" s="358">
        <f>Rounding!K112</f>
        <v>5.3613031602575995E-2</v>
      </c>
      <c r="L40" s="358">
        <f>Rounding!L112</f>
        <v>5.7473232847886774E-2</v>
      </c>
      <c r="M40" s="358">
        <f>Rounding!M112</f>
        <v>5.7473232847886774E-2</v>
      </c>
      <c r="N40" s="358">
        <f>Rounding!N112</f>
        <v>5.7473232847886774E-2</v>
      </c>
      <c r="O40" s="358">
        <f>Rounding!O112</f>
        <v>5.7473232847886774E-2</v>
      </c>
      <c r="P40" s="358">
        <f>Rounding!P112</f>
        <v>5.7473232847886774E-2</v>
      </c>
      <c r="Q40" s="358">
        <f>Rounding!Q112</f>
        <v>5.7473232847886774E-2</v>
      </c>
      <c r="R40" s="358">
        <f>Rounding!R112</f>
        <v>3.3558949876465571E-2</v>
      </c>
      <c r="S40" s="358">
        <f>Rounding!S112</f>
        <v>3.3558949876465571E-2</v>
      </c>
      <c r="T40" s="358">
        <f>Rounding!T112</f>
        <v>3.3558949876465571E-2</v>
      </c>
      <c r="U40" s="358">
        <f>Rounding!U112</f>
        <v>3.3558949876465571E-2</v>
      </c>
      <c r="V40" s="358">
        <f>Rounding!V112</f>
        <v>3.3558949876465571E-2</v>
      </c>
      <c r="W40" s="358">
        <f>Rounding!W112</f>
        <v>1.6070913442792111E-2</v>
      </c>
      <c r="X40" s="358">
        <f>Rounding!X112</f>
        <v>1.6070913442792111E-2</v>
      </c>
      <c r="Y40" s="358">
        <f>Rounding!Y112</f>
        <v>1.6070913442792111E-2</v>
      </c>
      <c r="Z40" s="358">
        <f>Rounding!Z112</f>
        <v>1.6070913442792111E-2</v>
      </c>
      <c r="AA40" s="358">
        <f>Rounding!AA112</f>
        <v>1.6070913442792111E-2</v>
      </c>
      <c r="AB40" s="358">
        <f>Rounding!AB112</f>
        <v>6.2032080266167114E-3</v>
      </c>
      <c r="AC40" s="358">
        <f>Rounding!AC112</f>
        <v>6.2032080266167114E-3</v>
      </c>
      <c r="AD40" s="358">
        <f>Rounding!AD112</f>
        <v>6.2032080266167114E-3</v>
      </c>
      <c r="AE40" s="358">
        <f>Rounding!AE112</f>
        <v>6.2032080266167114E-3</v>
      </c>
      <c r="AF40" s="358">
        <f>Rounding!AF112</f>
        <v>6.2032080266167114E-3</v>
      </c>
      <c r="AG40" s="358">
        <f>Rounding!AG112</f>
        <v>3.6009769800513483</v>
      </c>
      <c r="AH40" s="358">
        <f>Rounding!AH112</f>
        <v>-3.6765899643548476E-2</v>
      </c>
      <c r="AI40" s="358">
        <f>Rounding!AI112</f>
        <v>-3.0242775141836327E-2</v>
      </c>
      <c r="AJ40" s="358">
        <f>Rounding!AJ112</f>
        <v>-3.6765899643548476E-2</v>
      </c>
      <c r="AK40" s="358">
        <f>Rounding!AL112</f>
        <v>-3.0242775141836327E-2</v>
      </c>
      <c r="AL40" s="358">
        <f>Rounding!AN112</f>
        <v>-9.8307406073596861E-3</v>
      </c>
    </row>
    <row r="41" spans="3:40" x14ac:dyDescent="0.25">
      <c r="C41" s="225"/>
      <c r="D41"/>
      <c r="F41" s="228" t="s">
        <v>160</v>
      </c>
      <c r="G41" s="228" t="s">
        <v>271</v>
      </c>
      <c r="H41" t="s">
        <v>772</v>
      </c>
      <c r="J41" s="359">
        <f>Rounding!J113</f>
        <v>28.510610934465749</v>
      </c>
      <c r="K41" s="359">
        <f>Rounding!K113</f>
        <v>0</v>
      </c>
      <c r="L41" s="359">
        <f>Rounding!L113</f>
        <v>11.919761633370076</v>
      </c>
      <c r="M41" s="359">
        <f>Rounding!M113</f>
        <v>20.178504751922148</v>
      </c>
      <c r="N41" s="359">
        <f>Rounding!N113</f>
        <v>60.656138328580283</v>
      </c>
      <c r="O41" s="359">
        <f>Rounding!O113</f>
        <v>128.83350838090195</v>
      </c>
      <c r="P41" s="359">
        <f>Rounding!P113</f>
        <v>393.22256772067516</v>
      </c>
      <c r="Q41" s="359">
        <f>Rounding!Q113</f>
        <v>0</v>
      </c>
      <c r="R41" s="359">
        <f>Rounding!R113</f>
        <v>16.57610077681834</v>
      </c>
      <c r="S41" s="359">
        <f>Rounding!S113</f>
        <v>653.17807189022369</v>
      </c>
      <c r="T41" s="359">
        <f>Rounding!T113</f>
        <v>1175.5298024116864</v>
      </c>
      <c r="U41" s="359">
        <f>Rounding!U113</f>
        <v>1807.9166056455515</v>
      </c>
      <c r="V41" s="359">
        <f>Rounding!V113</f>
        <v>3825.3282237702715</v>
      </c>
      <c r="W41" s="359">
        <f>Rounding!W113</f>
        <v>12.93942798647695</v>
      </c>
      <c r="X41" s="359">
        <f>Rounding!X113</f>
        <v>649.5413990998826</v>
      </c>
      <c r="Y41" s="359">
        <f>Rounding!Y113</f>
        <v>1171.893129621345</v>
      </c>
      <c r="Z41" s="359">
        <f>Rounding!Z113</f>
        <v>1804.2799328552101</v>
      </c>
      <c r="AA41" s="359">
        <f>Rounding!AA113</f>
        <v>3821.6915509799301</v>
      </c>
      <c r="AB41" s="359">
        <f>Rounding!AB113</f>
        <v>119.45467255437254</v>
      </c>
      <c r="AC41" s="359">
        <f>Rounding!AC113</f>
        <v>3900.2529451995383</v>
      </c>
      <c r="AD41" s="359">
        <f>Rounding!AD113</f>
        <v>9477.4894611793279</v>
      </c>
      <c r="AE41" s="359">
        <f>Rounding!AE113</f>
        <v>20866.867146154287</v>
      </c>
      <c r="AF41" s="359">
        <f>Rounding!AF113</f>
        <v>52576.218740191987</v>
      </c>
      <c r="AG41" s="359">
        <f>Rounding!AG113</f>
        <v>0</v>
      </c>
      <c r="AH41" s="359">
        <f>Rounding!AH113</f>
        <v>0</v>
      </c>
      <c r="AI41" s="359">
        <f>Rounding!AI113</f>
        <v>0</v>
      </c>
      <c r="AJ41" s="359">
        <f>Rounding!AJ113</f>
        <v>0</v>
      </c>
      <c r="AK41" s="359">
        <f>Rounding!AL113</f>
        <v>0</v>
      </c>
      <c r="AL41" s="359">
        <f>Rounding!AN113</f>
        <v>74.759832813677818</v>
      </c>
    </row>
    <row r="42" spans="3:40" x14ac:dyDescent="0.25">
      <c r="C42" s="225"/>
      <c r="D42"/>
      <c r="F42" s="228" t="s">
        <v>161</v>
      </c>
      <c r="G42" s="228" t="s">
        <v>272</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5.1751263513126649</v>
      </c>
      <c r="S42" s="359">
        <f>Rounding!S114</f>
        <v>5.1751263513126649</v>
      </c>
      <c r="T42" s="359">
        <f>Rounding!T114</f>
        <v>5.1751263513126649</v>
      </c>
      <c r="U42" s="359">
        <f>Rounding!U114</f>
        <v>5.1751263513126649</v>
      </c>
      <c r="V42" s="359">
        <f>Rounding!V114</f>
        <v>5.1751263513126649</v>
      </c>
      <c r="W42" s="359">
        <f>Rounding!W114</f>
        <v>4.8569968783259014</v>
      </c>
      <c r="X42" s="359">
        <f>Rounding!X114</f>
        <v>4.8569968783259014</v>
      </c>
      <c r="Y42" s="359">
        <f>Rounding!Y114</f>
        <v>4.8569968783259014</v>
      </c>
      <c r="Z42" s="359">
        <f>Rounding!Z114</f>
        <v>4.8569968783259014</v>
      </c>
      <c r="AA42" s="359">
        <f>Rounding!AA114</f>
        <v>4.8569968783259014</v>
      </c>
      <c r="AB42" s="359">
        <f>Rounding!AB114</f>
        <v>4.0922507787562674</v>
      </c>
      <c r="AC42" s="359">
        <f>Rounding!AC114</f>
        <v>4.0922507787562674</v>
      </c>
      <c r="AD42" s="359">
        <f>Rounding!AD114</f>
        <v>4.0922507787562674</v>
      </c>
      <c r="AE42" s="359">
        <f>Rounding!AE114</f>
        <v>4.0922507787562674</v>
      </c>
      <c r="AF42" s="359">
        <f>Rounding!AF114</f>
        <v>4.0922507787562674</v>
      </c>
      <c r="AG42" s="359">
        <f>Rounding!AG114</f>
        <v>0</v>
      </c>
      <c r="AH42" s="359">
        <f>Rounding!AH114</f>
        <v>0</v>
      </c>
      <c r="AI42" s="359">
        <f>Rounding!AI114</f>
        <v>0</v>
      </c>
      <c r="AJ42" s="359">
        <f>Rounding!AJ114</f>
        <v>0</v>
      </c>
      <c r="AK42" s="359">
        <f>Rounding!AL114</f>
        <v>0</v>
      </c>
      <c r="AL42" s="359">
        <f>Rounding!AN114</f>
        <v>0</v>
      </c>
    </row>
    <row r="43" spans="3:40" x14ac:dyDescent="0.25">
      <c r="C43" s="225"/>
      <c r="D43"/>
      <c r="F43" s="228" t="s">
        <v>162</v>
      </c>
      <c r="G43" s="228" t="s">
        <v>272</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10.133407692924756</v>
      </c>
      <c r="S43" s="359">
        <f>Rounding!S115</f>
        <v>10.133407692924756</v>
      </c>
      <c r="T43" s="359">
        <f>Rounding!T115</f>
        <v>10.133407692924756</v>
      </c>
      <c r="U43" s="359">
        <f>Rounding!U115</f>
        <v>10.133407692924756</v>
      </c>
      <c r="V43" s="359">
        <f>Rounding!V115</f>
        <v>10.133407692924756</v>
      </c>
      <c r="W43" s="359">
        <f>Rounding!W115</f>
        <v>8.7728917702555496</v>
      </c>
      <c r="X43" s="359">
        <f>Rounding!X115</f>
        <v>8.7728917702555496</v>
      </c>
      <c r="Y43" s="359">
        <f>Rounding!Y115</f>
        <v>8.7728917702555496</v>
      </c>
      <c r="Z43" s="359">
        <f>Rounding!Z115</f>
        <v>8.7728917702555496</v>
      </c>
      <c r="AA43" s="359">
        <f>Rounding!AA115</f>
        <v>8.7728917702555496</v>
      </c>
      <c r="AB43" s="359">
        <f>Rounding!AB115</f>
        <v>8.4410149633106037</v>
      </c>
      <c r="AC43" s="359">
        <f>Rounding!AC115</f>
        <v>8.4410149633106037</v>
      </c>
      <c r="AD43" s="359">
        <f>Rounding!AD115</f>
        <v>8.4410149633106037</v>
      </c>
      <c r="AE43" s="359">
        <f>Rounding!AE115</f>
        <v>8.4410149633106037</v>
      </c>
      <c r="AF43" s="359">
        <f>Rounding!AF115</f>
        <v>8.4410149633106037</v>
      </c>
      <c r="AG43" s="359">
        <f>Rounding!AG115</f>
        <v>0</v>
      </c>
      <c r="AH43" s="359">
        <f>Rounding!AH115</f>
        <v>0</v>
      </c>
      <c r="AI43" s="359">
        <f>Rounding!AI115</f>
        <v>0</v>
      </c>
      <c r="AJ43" s="359">
        <f>Rounding!AJ115</f>
        <v>0</v>
      </c>
      <c r="AK43" s="359">
        <f>Rounding!AL115</f>
        <v>0</v>
      </c>
      <c r="AL43" s="359">
        <f>Rounding!AN115</f>
        <v>0</v>
      </c>
    </row>
    <row r="44" spans="3:40" x14ac:dyDescent="0.25">
      <c r="C44" s="225"/>
      <c r="D44"/>
      <c r="F44" s="229" t="s">
        <v>163</v>
      </c>
      <c r="G44" s="229" t="s">
        <v>273</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0.14374277388422174</v>
      </c>
      <c r="S44" s="275">
        <f>Rounding!S116</f>
        <v>0.14374277388422174</v>
      </c>
      <c r="T44" s="275">
        <f>Rounding!T116</f>
        <v>0.14374277388422174</v>
      </c>
      <c r="U44" s="275">
        <f>Rounding!U116</f>
        <v>0.14374277388422174</v>
      </c>
      <c r="V44" s="275">
        <f>Rounding!V116</f>
        <v>0.14374277388422174</v>
      </c>
      <c r="W44" s="275">
        <f>Rounding!W116</f>
        <v>9.2852011484984898E-2</v>
      </c>
      <c r="X44" s="275">
        <f>Rounding!X116</f>
        <v>9.2852011484984898E-2</v>
      </c>
      <c r="Y44" s="275">
        <f>Rounding!Y116</f>
        <v>9.2852011484984898E-2</v>
      </c>
      <c r="Z44" s="275">
        <f>Rounding!Z116</f>
        <v>9.2852011484984898E-2</v>
      </c>
      <c r="AA44" s="275">
        <f>Rounding!AA116</f>
        <v>9.2852011484984898E-2</v>
      </c>
      <c r="AB44" s="275">
        <f>Rounding!AB116</f>
        <v>6.0971490491113549E-2</v>
      </c>
      <c r="AC44" s="275">
        <f>Rounding!AC116</f>
        <v>6.0971490491113549E-2</v>
      </c>
      <c r="AD44" s="275">
        <f>Rounding!AD116</f>
        <v>6.0971490491113549E-2</v>
      </c>
      <c r="AE44" s="275">
        <f>Rounding!AE116</f>
        <v>6.0971490491113549E-2</v>
      </c>
      <c r="AF44" s="275">
        <f>Rounding!AF116</f>
        <v>6.0971490491113549E-2</v>
      </c>
      <c r="AG44" s="275">
        <f>Rounding!AG116</f>
        <v>0</v>
      </c>
      <c r="AH44" s="275">
        <f>Rounding!AH116</f>
        <v>0</v>
      </c>
      <c r="AI44" s="275">
        <f>Rounding!AI116</f>
        <v>0</v>
      </c>
      <c r="AJ44" s="275">
        <f>Rounding!AJ116</f>
        <v>0.15293859301027984</v>
      </c>
      <c r="AK44" s="275">
        <f>Rounding!AL116</f>
        <v>0.11981639967433741</v>
      </c>
      <c r="AL44" s="275">
        <f>Rounding!AN116</f>
        <v>9.1094368372010112E-2</v>
      </c>
    </row>
    <row r="45" spans="3:40" x14ac:dyDescent="0.25">
      <c r="D45"/>
      <c r="E45"/>
      <c r="F45" s="230"/>
    </row>
    <row r="46" spans="3:40" x14ac:dyDescent="0.25">
      <c r="D46" s="24" t="s">
        <v>896</v>
      </c>
      <c r="E46"/>
    </row>
    <row r="48" spans="3:40" ht="60" customHeight="1" x14ac:dyDescent="0.25">
      <c r="D48"/>
      <c r="E48"/>
      <c r="F48" s="230"/>
      <c r="J48" s="226" t="s">
        <v>908</v>
      </c>
      <c r="K48" s="226" t="s">
        <v>829</v>
      </c>
      <c r="L48" s="226" t="s">
        <v>909</v>
      </c>
      <c r="M48" s="226" t="s">
        <v>910</v>
      </c>
      <c r="N48" s="226" t="s">
        <v>911</v>
      </c>
      <c r="O48" s="226" t="s">
        <v>912</v>
      </c>
      <c r="P48" s="226" t="s">
        <v>913</v>
      </c>
      <c r="Q48" s="226" t="s">
        <v>830</v>
      </c>
      <c r="R48" s="226" t="s">
        <v>914</v>
      </c>
      <c r="S48" s="226" t="s">
        <v>915</v>
      </c>
      <c r="T48" s="226" t="s">
        <v>916</v>
      </c>
      <c r="U48" s="226" t="s">
        <v>917</v>
      </c>
      <c r="V48" s="226" t="s">
        <v>918</v>
      </c>
      <c r="W48" s="226" t="s">
        <v>919</v>
      </c>
      <c r="X48" s="226" t="s">
        <v>920</v>
      </c>
      <c r="Y48" s="226" t="s">
        <v>921</v>
      </c>
      <c r="Z48" s="226" t="s">
        <v>922</v>
      </c>
      <c r="AA48" s="226" t="s">
        <v>923</v>
      </c>
      <c r="AB48" s="226" t="s">
        <v>924</v>
      </c>
      <c r="AC48" s="226" t="s">
        <v>925</v>
      </c>
      <c r="AD48" s="226" t="s">
        <v>926</v>
      </c>
      <c r="AE48" s="226" t="s">
        <v>927</v>
      </c>
      <c r="AF48" s="226" t="s">
        <v>928</v>
      </c>
      <c r="AG48" s="226" t="s">
        <v>839</v>
      </c>
      <c r="AH48" s="226" t="s">
        <v>831</v>
      </c>
      <c r="AI48" s="226" t="s">
        <v>832</v>
      </c>
      <c r="AJ48" s="226" t="s">
        <v>833</v>
      </c>
      <c r="AK48" s="226" t="s">
        <v>834</v>
      </c>
      <c r="AL48" s="226" t="s">
        <v>835</v>
      </c>
    </row>
    <row r="49" spans="2:40" x14ac:dyDescent="0.25">
      <c r="D49"/>
      <c r="E49" t="s">
        <v>893</v>
      </c>
      <c r="F49" s="230"/>
      <c r="G49" t="s">
        <v>271</v>
      </c>
      <c r="J49" s="223">
        <f>Rounding!J47</f>
        <v>0.91306772696471272</v>
      </c>
      <c r="K49" s="223">
        <f>Rounding!K47</f>
        <v>0</v>
      </c>
      <c r="L49" s="223">
        <f>Rounding!L47</f>
        <v>0.71834165313114851</v>
      </c>
      <c r="M49" s="223">
        <f>Rounding!M47</f>
        <v>0.71834165313114851</v>
      </c>
      <c r="N49" s="223">
        <f>Rounding!N47</f>
        <v>0.71834165313114851</v>
      </c>
      <c r="O49" s="223">
        <f>Rounding!O47</f>
        <v>0.71834165313114851</v>
      </c>
      <c r="P49" s="223">
        <f>Rounding!P47</f>
        <v>0.71834165313114851</v>
      </c>
      <c r="Q49" s="223">
        <f>Rounding!Q47</f>
        <v>0</v>
      </c>
      <c r="R49" s="223">
        <f>Rounding!R47</f>
        <v>0.71834165313114851</v>
      </c>
      <c r="S49" s="223">
        <f>Rounding!S47</f>
        <v>0.71834165313114851</v>
      </c>
      <c r="T49" s="223">
        <f>Rounding!T47</f>
        <v>0.71834165313114851</v>
      </c>
      <c r="U49" s="223">
        <f>Rounding!U47</f>
        <v>0.71834165313114851</v>
      </c>
      <c r="V49" s="223">
        <f>Rounding!V47</f>
        <v>0.71834165313114851</v>
      </c>
      <c r="W49" s="223">
        <f>Rounding!W47</f>
        <v>0.71834165313114851</v>
      </c>
      <c r="X49" s="223">
        <f>Rounding!X47</f>
        <v>0.71834165313114851</v>
      </c>
      <c r="Y49" s="223">
        <f>Rounding!Y47</f>
        <v>0.71834165313114851</v>
      </c>
      <c r="Z49" s="223">
        <f>Rounding!Z47</f>
        <v>0.71834165313114851</v>
      </c>
      <c r="AA49" s="223">
        <f>Rounding!AA47</f>
        <v>0.71834165313114851</v>
      </c>
      <c r="AB49" s="223">
        <f>Rounding!AB47</f>
        <v>0.71834165313114851</v>
      </c>
      <c r="AC49" s="223">
        <f>Rounding!AC47</f>
        <v>0.71834165313114851</v>
      </c>
      <c r="AD49" s="223">
        <f>Rounding!AD47</f>
        <v>0.71834165313114851</v>
      </c>
      <c r="AE49" s="223">
        <f>Rounding!AE47</f>
        <v>0.71834165313114851</v>
      </c>
      <c r="AF49" s="223">
        <f>Rounding!AF47</f>
        <v>0.71834165313114851</v>
      </c>
      <c r="AG49" s="223">
        <f>Rounding!AG47</f>
        <v>0</v>
      </c>
      <c r="AH49" s="223">
        <f>Rounding!AH47</f>
        <v>0</v>
      </c>
      <c r="AI49" s="223">
        <f>Rounding!AI47</f>
        <v>0</v>
      </c>
      <c r="AJ49" s="223">
        <f>Rounding!AJ47</f>
        <v>0</v>
      </c>
      <c r="AK49" s="223">
        <f>Rounding!AL47</f>
        <v>0</v>
      </c>
      <c r="AL49" s="223">
        <f>Rounding!AN47</f>
        <v>0</v>
      </c>
    </row>
    <row r="50" spans="2:40" x14ac:dyDescent="0.25">
      <c r="D50"/>
      <c r="E50"/>
      <c r="F50" s="230"/>
    </row>
    <row r="51" spans="2:40" x14ac:dyDescent="0.25">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25">
      <c r="C52" s="2"/>
      <c r="D52"/>
    </row>
    <row r="53" spans="2:40" x14ac:dyDescent="0.25">
      <c r="D53" s="24" t="s">
        <v>814</v>
      </c>
      <c r="E53"/>
    </row>
    <row r="55" spans="2:40" x14ac:dyDescent="0.25">
      <c r="D55"/>
      <c r="F55" s="2"/>
      <c r="G55" s="2"/>
      <c r="H55" s="2"/>
      <c r="I55" s="2"/>
      <c r="J55" s="104" t="s">
        <v>192</v>
      </c>
      <c r="K55" s="104" t="s">
        <v>193</v>
      </c>
      <c r="L55" s="104" t="s">
        <v>194</v>
      </c>
      <c r="M55" s="104" t="s">
        <v>195</v>
      </c>
      <c r="N55" s="104" t="s">
        <v>196</v>
      </c>
      <c r="O55" s="104" t="s">
        <v>197</v>
      </c>
      <c r="P55" s="104" t="s">
        <v>198</v>
      </c>
      <c r="Q55" s="104" t="s">
        <v>199</v>
      </c>
      <c r="R55" s="104" t="s">
        <v>200</v>
      </c>
      <c r="S55" s="104" t="s">
        <v>375</v>
      </c>
      <c r="T55" s="104" t="s">
        <v>376</v>
      </c>
    </row>
    <row r="56" spans="2:40" x14ac:dyDescent="0.25">
      <c r="D56"/>
      <c r="E56" s="289" t="s">
        <v>825</v>
      </c>
      <c r="F56" s="289"/>
      <c r="G56" s="57" t="s">
        <v>168</v>
      </c>
      <c r="H56" s="28"/>
      <c r="I56" s="28"/>
      <c r="J56" s="290"/>
      <c r="K56" s="291">
        <f t="array" ref="K56:O56">TRANSPOSE('System peak demand'!H227:H231)</f>
        <v>5.3682000000000007E-2</v>
      </c>
      <c r="L56" s="291">
        <v>5.3682000000000007E-2</v>
      </c>
      <c r="M56" s="291">
        <v>0.13270815000000002</v>
      </c>
      <c r="N56" s="291">
        <v>0.13270815000000002</v>
      </c>
      <c r="O56" s="291">
        <v>5.3682000000000007E-2</v>
      </c>
      <c r="P56" s="290"/>
      <c r="Q56" s="290"/>
      <c r="R56" s="290"/>
      <c r="S56" s="290"/>
      <c r="T56" s="290"/>
    </row>
    <row r="57" spans="2:40" x14ac:dyDescent="0.25">
      <c r="D57"/>
      <c r="E57" s="292" t="s">
        <v>826</v>
      </c>
      <c r="F57" s="292"/>
      <c r="G57" s="98" t="s">
        <v>519</v>
      </c>
      <c r="H57" s="98"/>
      <c r="I57" s="98"/>
      <c r="J57" s="293">
        <f t="array" ref="J57:O57">TRANSPOSE('System peak demand'!H154:H159)</f>
        <v>2184674.6030280227</v>
      </c>
      <c r="K57" s="293">
        <v>2169121.9279743396</v>
      </c>
      <c r="L57" s="293">
        <v>2160480.007942569</v>
      </c>
      <c r="M57" s="293">
        <v>2091878.9479930392</v>
      </c>
      <c r="N57" s="293">
        <v>2083626.9600325145</v>
      </c>
      <c r="O57" s="293">
        <v>0</v>
      </c>
      <c r="P57" s="294"/>
      <c r="Q57" s="294"/>
      <c r="R57" s="294"/>
      <c r="S57" s="294"/>
      <c r="T57" s="294"/>
    </row>
    <row r="58" spans="2:40" x14ac:dyDescent="0.25">
      <c r="D58"/>
      <c r="E58" s="292" t="s">
        <v>815</v>
      </c>
      <c r="F58" s="292"/>
      <c r="G58" s="98" t="s">
        <v>278</v>
      </c>
      <c r="H58" s="98"/>
      <c r="I58" s="98"/>
      <c r="J58" s="294"/>
      <c r="K58" s="293">
        <f>'Unit costs'!L108</f>
        <v>539589152.80446672</v>
      </c>
      <c r="L58" s="293">
        <f>'Unit costs'!M108</f>
        <v>77291547.855524078</v>
      </c>
      <c r="M58" s="293">
        <f>'Unit costs'!N108</f>
        <v>253138614.26488158</v>
      </c>
      <c r="N58" s="293">
        <f>'Unit costs'!O108</f>
        <v>239471626.01319396</v>
      </c>
      <c r="O58" s="293">
        <f>'Unit costs'!P108</f>
        <v>0</v>
      </c>
      <c r="P58" s="293">
        <f>'Unit costs'!Q108</f>
        <v>1125539307.6607764</v>
      </c>
      <c r="Q58" s="293">
        <f>'Unit costs'!R108</f>
        <v>402666846.73437393</v>
      </c>
      <c r="R58" s="293">
        <f>'Unit costs'!S108</f>
        <v>755194363.7847259</v>
      </c>
      <c r="S58" s="293">
        <f>'Unit costs'!T108</f>
        <v>542136588.01362896</v>
      </c>
      <c r="T58" s="293">
        <f>'Unit costs'!U108</f>
        <v>13900346.161362654</v>
      </c>
    </row>
    <row r="59" spans="2:40" x14ac:dyDescent="0.25">
      <c r="D59"/>
      <c r="E59" s="295" t="s">
        <v>391</v>
      </c>
      <c r="F59" s="295"/>
      <c r="G59" s="19" t="s">
        <v>284</v>
      </c>
      <c r="H59" s="19"/>
      <c r="I59" s="19"/>
      <c r="J59" s="222">
        <f>'Load &amp; loss characteristics'!K29</f>
        <v>1</v>
      </c>
      <c r="K59" s="222">
        <f>'Load &amp; loss characteristics'!L29</f>
        <v>1</v>
      </c>
      <c r="L59" s="222">
        <f>'Load &amp; loss characteristics'!M29</f>
        <v>1.004</v>
      </c>
      <c r="M59" s="222">
        <f>'Load &amp; loss characteristics'!N29</f>
        <v>1.01</v>
      </c>
      <c r="N59" s="222">
        <f>'Load &amp; loss characteristics'!O29</f>
        <v>1.014</v>
      </c>
      <c r="O59" s="222">
        <f>'Load &amp; loss characteristics'!P29</f>
        <v>1.014</v>
      </c>
      <c r="P59" s="73"/>
      <c r="Q59" s="73"/>
      <c r="R59" s="73"/>
      <c r="S59" s="73"/>
      <c r="T59" s="73"/>
    </row>
    <row r="60" spans="2:40" x14ac:dyDescent="0.25">
      <c r="D60"/>
      <c r="E60"/>
      <c r="F60" s="230"/>
    </row>
    <row r="61" spans="2:40" x14ac:dyDescent="0.25">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25">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25">
      <c r="D65" s="24" t="s">
        <v>817</v>
      </c>
      <c r="E65"/>
    </row>
    <row r="67" spans="3:40" ht="45" x14ac:dyDescent="0.25">
      <c r="F67" s="2"/>
      <c r="G67" s="2"/>
      <c r="H67" s="2"/>
      <c r="I67" s="2"/>
      <c r="J67" s="226" t="s">
        <v>908</v>
      </c>
      <c r="K67" s="226" t="s">
        <v>829</v>
      </c>
      <c r="L67" s="226" t="s">
        <v>909</v>
      </c>
      <c r="M67" s="226" t="s">
        <v>910</v>
      </c>
      <c r="N67" s="226" t="s">
        <v>911</v>
      </c>
      <c r="O67" s="226" t="s">
        <v>912</v>
      </c>
      <c r="P67" s="226" t="s">
        <v>913</v>
      </c>
      <c r="Q67" s="226" t="s">
        <v>830</v>
      </c>
      <c r="R67" s="226" t="s">
        <v>914</v>
      </c>
      <c r="S67" s="226" t="s">
        <v>915</v>
      </c>
      <c r="T67" s="226" t="s">
        <v>916</v>
      </c>
      <c r="U67" s="226" t="s">
        <v>917</v>
      </c>
      <c r="V67" s="226" t="s">
        <v>918</v>
      </c>
      <c r="W67" s="226" t="s">
        <v>919</v>
      </c>
      <c r="X67" s="226" t="s">
        <v>920</v>
      </c>
      <c r="Y67" s="226" t="s">
        <v>921</v>
      </c>
      <c r="Z67" s="226" t="s">
        <v>922</v>
      </c>
      <c r="AA67" s="226" t="s">
        <v>923</v>
      </c>
      <c r="AB67" s="226" t="s">
        <v>924</v>
      </c>
      <c r="AC67" s="226" t="s">
        <v>925</v>
      </c>
      <c r="AD67" s="226" t="s">
        <v>926</v>
      </c>
      <c r="AE67" s="226" t="s">
        <v>927</v>
      </c>
      <c r="AF67" s="226" t="s">
        <v>928</v>
      </c>
      <c r="AG67" s="226" t="s">
        <v>839</v>
      </c>
      <c r="AH67" s="226" t="s">
        <v>831</v>
      </c>
      <c r="AI67" s="226" t="s">
        <v>832</v>
      </c>
      <c r="AJ67" s="226" t="s">
        <v>833</v>
      </c>
      <c r="AK67" s="226" t="s">
        <v>834</v>
      </c>
      <c r="AL67" s="226" t="s">
        <v>835</v>
      </c>
    </row>
    <row r="68" spans="3:40" x14ac:dyDescent="0.25">
      <c r="C68" s="225"/>
      <c r="D68"/>
      <c r="E68" s="28" t="s">
        <v>770</v>
      </c>
      <c r="F68" s="28"/>
      <c r="G68" s="76" t="s">
        <v>278</v>
      </c>
      <c r="H68" s="28" t="s">
        <v>772</v>
      </c>
      <c r="I68" s="28"/>
      <c r="J68" s="224">
        <f>'Net revenue summary'!J140</f>
        <v>161.67030925631749</v>
      </c>
      <c r="K68" s="224">
        <f>'Net revenue summary'!K140</f>
        <v>0</v>
      </c>
      <c r="L68" s="224">
        <f>'Net revenue summary'!L140</f>
        <v>54.091115848070459</v>
      </c>
      <c r="M68" s="224">
        <f>'Net revenue summary'!M140</f>
        <v>94.760016374516454</v>
      </c>
      <c r="N68" s="224">
        <f>'Net revenue summary'!N140</f>
        <v>333.0250022218915</v>
      </c>
      <c r="O68" s="224">
        <f>'Net revenue summary'!O140</f>
        <v>734.39649625654101</v>
      </c>
      <c r="P68" s="224">
        <f>'Net revenue summary'!P140</f>
        <v>2290.8649813382035</v>
      </c>
      <c r="Q68" s="224">
        <f>'Net revenue summary'!Q140</f>
        <v>0</v>
      </c>
      <c r="R68" s="224">
        <f>'Net revenue summary'!R140</f>
        <v>1189.9681332819246</v>
      </c>
      <c r="S68" s="224">
        <f>'Net revenue summary'!S140</f>
        <v>4402.0997210404012</v>
      </c>
      <c r="T68" s="224">
        <f>'Net revenue summary'!T140</f>
        <v>8227.2537322496701</v>
      </c>
      <c r="U68" s="224">
        <f>'Net revenue summary'!U140</f>
        <v>12734.343843020213</v>
      </c>
      <c r="V68" s="224">
        <f>'Net revenue summary'!V140</f>
        <v>25199.447694574286</v>
      </c>
      <c r="W68" s="224">
        <f>'Net revenue summary'!W140</f>
        <v>2260.8431621079621</v>
      </c>
      <c r="X68" s="224">
        <f>'Net revenue summary'!X140</f>
        <v>4316.6876935108439</v>
      </c>
      <c r="Y68" s="224">
        <f>'Net revenue summary'!Y140</f>
        <v>7846.7568687704461</v>
      </c>
      <c r="Z68" s="224">
        <f>'Net revenue summary'!Z140</f>
        <v>12115.490510217571</v>
      </c>
      <c r="AA68" s="224">
        <f>'Net revenue summary'!AA140</f>
        <v>25707.376606093556</v>
      </c>
      <c r="AB68" s="224">
        <f>'Net revenue summary'!AB140</f>
        <v>2956.6922052670798</v>
      </c>
      <c r="AC68" s="224">
        <f>'Net revenue summary'!AC140</f>
        <v>20675.974082915654</v>
      </c>
      <c r="AD68" s="224">
        <f>'Net revenue summary'!AD140</f>
        <v>50994.081279100094</v>
      </c>
      <c r="AE68" s="224">
        <f>'Net revenue summary'!AE140</f>
        <v>110159.7839993427</v>
      </c>
      <c r="AF68" s="224">
        <f>'Net revenue summary'!AF140</f>
        <v>274752.43785439816</v>
      </c>
      <c r="AG68" s="224">
        <f>'Net revenue summary'!AG140</f>
        <v>2012.6773902533489</v>
      </c>
      <c r="AH68" s="224">
        <f>'Net revenue summary'!AH140</f>
        <v>0</v>
      </c>
      <c r="AI68" s="224">
        <f>'Net revenue summary'!AI140</f>
        <v>0</v>
      </c>
      <c r="AJ68" s="224">
        <f>'Net revenue summary'!AJ140</f>
        <v>0</v>
      </c>
      <c r="AK68" s="224">
        <f>'Net revenue summary'!AL140</f>
        <v>0</v>
      </c>
      <c r="AL68" s="224">
        <f>'Net revenue summary'!AN140</f>
        <v>-9685.8457436360277</v>
      </c>
    </row>
    <row r="69" spans="3:40" x14ac:dyDescent="0.25">
      <c r="C69" s="225"/>
      <c r="D69"/>
      <c r="E69" s="98" t="s">
        <v>775</v>
      </c>
      <c r="F69" s="98"/>
      <c r="G69" s="204" t="s">
        <v>270</v>
      </c>
      <c r="H69" s="296" t="s">
        <v>772</v>
      </c>
      <c r="I69" s="296"/>
      <c r="J69" s="400">
        <f>'Net revenue summary'!J146</f>
        <v>4.7853675803122773</v>
      </c>
      <c r="K69" s="400">
        <f>'Net revenue summary'!K146</f>
        <v>0.15053489645985793</v>
      </c>
      <c r="L69" s="400">
        <f>'Net revenue summary'!L146</f>
        <v>9.9657555477548652</v>
      </c>
      <c r="M69" s="400">
        <f>'Net revenue summary'!M146</f>
        <v>7.517459431722167</v>
      </c>
      <c r="N69" s="400">
        <f>'Net revenue summary'!N146</f>
        <v>4.4769632084376498</v>
      </c>
      <c r="O69" s="400">
        <f>'Net revenue summary'!O146</f>
        <v>4.1155221320874471</v>
      </c>
      <c r="P69" s="400">
        <f>'Net revenue summary'!P146</f>
        <v>3.9363111115379894</v>
      </c>
      <c r="Q69" s="400">
        <f>'Net revenue summary'!Q146</f>
        <v>0.18584433424947486</v>
      </c>
      <c r="R69" s="400">
        <f>'Net revenue summary'!R146</f>
        <v>4.2190230872788632</v>
      </c>
      <c r="S69" s="400">
        <f>'Net revenue summary'!S146</f>
        <v>4.6041281833918433</v>
      </c>
      <c r="T69" s="400">
        <f>'Net revenue summary'!T146</f>
        <v>4.810831400353516</v>
      </c>
      <c r="U69" s="400">
        <f>'Net revenue summary'!U146</f>
        <v>4.9629756735210888</v>
      </c>
      <c r="V69" s="400">
        <f>'Net revenue summary'!V146</f>
        <v>5.4136040278982511</v>
      </c>
      <c r="W69" s="400">
        <f>'Net revenue summary'!W146</f>
        <v>2.8934497145257954</v>
      </c>
      <c r="X69" s="400">
        <f>'Net revenue summary'!X146</f>
        <v>3.7063585051740673</v>
      </c>
      <c r="Y69" s="400">
        <f>'Net revenue summary'!Y146</f>
        <v>3.7263071765999887</v>
      </c>
      <c r="Z69" s="400">
        <f>'Net revenue summary'!Z146</f>
        <v>3.7781455965294763</v>
      </c>
      <c r="AA69" s="400">
        <f>'Net revenue summary'!AA146</f>
        <v>3.7183421182848675</v>
      </c>
      <c r="AB69" s="400">
        <f>'Net revenue summary'!AB146</f>
        <v>6.8435832203921665</v>
      </c>
      <c r="AC69" s="400">
        <f>'Net revenue summary'!AC146</f>
        <v>3.558449269581935</v>
      </c>
      <c r="AD69" s="400">
        <f>'Net revenue summary'!AD146</f>
        <v>3.5457933567769886</v>
      </c>
      <c r="AE69" s="400">
        <f>'Net revenue summary'!AE146</f>
        <v>3.4549155809901042</v>
      </c>
      <c r="AF69" s="400">
        <f>'Net revenue summary'!AF146</f>
        <v>3.4081473541871539</v>
      </c>
      <c r="AG69" s="400">
        <f>'Net revenue summary'!AG146</f>
        <v>5.0696266757790909</v>
      </c>
      <c r="AH69" s="400">
        <f>'Net revenue summary'!AH146</f>
        <v>-1.0186544144838419</v>
      </c>
      <c r="AI69" s="400">
        <f>'Net revenue summary'!AI146</f>
        <v>0</v>
      </c>
      <c r="AJ69" s="400">
        <f>'Net revenue summary'!AJ146</f>
        <v>-0.81615195827293174</v>
      </c>
      <c r="AK69" s="400">
        <f>'Net revenue summary'!AL146</f>
        <v>-0.71874451039347942</v>
      </c>
      <c r="AL69" s="400">
        <f>'Net revenue summary'!AN146</f>
        <v>-0.47199750092896342</v>
      </c>
    </row>
    <row r="70" spans="3:40" x14ac:dyDescent="0.25">
      <c r="C70" s="225"/>
      <c r="D70"/>
      <c r="E70" s="98" t="s">
        <v>784</v>
      </c>
      <c r="F70" s="98"/>
      <c r="G70" s="98" t="s">
        <v>168</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25">
      <c r="C71" s="225"/>
      <c r="D71"/>
      <c r="E71" s="19" t="s">
        <v>785</v>
      </c>
      <c r="F71" s="19"/>
      <c r="G71" s="19" t="s">
        <v>270</v>
      </c>
      <c r="H71" s="255" t="s">
        <v>772</v>
      </c>
      <c r="I71" s="255"/>
      <c r="J71" s="402">
        <f>'Net revenue summary'!J174</f>
        <v>4.7853675803122773</v>
      </c>
      <c r="K71" s="402">
        <f>'Net revenue summary'!K174</f>
        <v>0.1505348964598579</v>
      </c>
      <c r="L71" s="402">
        <f>'Net revenue summary'!L174</f>
        <v>9.9657555477548652</v>
      </c>
      <c r="M71" s="402">
        <f>'Net revenue summary'!M174</f>
        <v>7.5174594317221679</v>
      </c>
      <c r="N71" s="402">
        <f>'Net revenue summary'!N174</f>
        <v>4.4769632084376498</v>
      </c>
      <c r="O71" s="402">
        <f>'Net revenue summary'!O174</f>
        <v>4.1155221320874471</v>
      </c>
      <c r="P71" s="402">
        <f>'Net revenue summary'!P174</f>
        <v>3.9363111115379894</v>
      </c>
      <c r="Q71" s="402">
        <f>'Net revenue summary'!Q174</f>
        <v>0.18584433424947483</v>
      </c>
      <c r="R71" s="402">
        <f>'Net revenue summary'!R174</f>
        <v>4.2190230872788632</v>
      </c>
      <c r="S71" s="402">
        <f>'Net revenue summary'!S174</f>
        <v>4.6041281833918433</v>
      </c>
      <c r="T71" s="402">
        <f>'Net revenue summary'!T174</f>
        <v>4.810831400353516</v>
      </c>
      <c r="U71" s="402">
        <f>'Net revenue summary'!U174</f>
        <v>4.9629756735210888</v>
      </c>
      <c r="V71" s="402">
        <f>'Net revenue summary'!V174</f>
        <v>5.4136040278982511</v>
      </c>
      <c r="W71" s="402">
        <f>'Net revenue summary'!W174</f>
        <v>2.8934497145257954</v>
      </c>
      <c r="X71" s="402">
        <f>'Net revenue summary'!X174</f>
        <v>3.7063585051740673</v>
      </c>
      <c r="Y71" s="402">
        <f>'Net revenue summary'!Y174</f>
        <v>3.7263071765999882</v>
      </c>
      <c r="Z71" s="402">
        <f>'Net revenue summary'!Z174</f>
        <v>3.7781455965294759</v>
      </c>
      <c r="AA71" s="402">
        <f>'Net revenue summary'!AA174</f>
        <v>3.7183421182848675</v>
      </c>
      <c r="AB71" s="402">
        <f>'Net revenue summary'!AB174</f>
        <v>6.8435832203921665</v>
      </c>
      <c r="AC71" s="402">
        <f>'Net revenue summary'!AC174</f>
        <v>3.558449269581935</v>
      </c>
      <c r="AD71" s="402">
        <f>'Net revenue summary'!AD174</f>
        <v>3.5457933567769886</v>
      </c>
      <c r="AE71" s="402">
        <f>'Net revenue summary'!AE174</f>
        <v>3.4549155809901038</v>
      </c>
      <c r="AF71" s="402">
        <f>'Net revenue summary'!AF174</f>
        <v>3.4081473541871539</v>
      </c>
      <c r="AG71" s="402">
        <f>'Net revenue summary'!AG174</f>
        <v>5.0696266757790909</v>
      </c>
      <c r="AH71" s="402">
        <f>'Net revenue summary'!AH174</f>
        <v>-1.0186544144838419</v>
      </c>
      <c r="AI71" s="402" t="str">
        <f>'Net revenue summary'!AI174</f>
        <v>-</v>
      </c>
      <c r="AJ71" s="402">
        <f>'Net revenue summary'!AJ174</f>
        <v>-0.81615195827293174</v>
      </c>
      <c r="AK71" s="402">
        <f>'Net revenue summary'!AL174</f>
        <v>-0.71874451039347942</v>
      </c>
      <c r="AL71" s="402">
        <f>'Net revenue summary'!AN174</f>
        <v>-0.47199750092896336</v>
      </c>
    </row>
    <row r="72" spans="3:40" x14ac:dyDescent="0.25">
      <c r="C72" s="225"/>
    </row>
    <row r="73" spans="3:40" x14ac:dyDescent="0.25">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25">
      <c r="D75" s="24" t="s">
        <v>818</v>
      </c>
      <c r="E75"/>
    </row>
    <row r="76" spans="3:40" x14ac:dyDescent="0.25">
      <c r="D76" s="24" t="s">
        <v>819</v>
      </c>
      <c r="E76"/>
    </row>
    <row r="78" spans="3:40" ht="45" x14ac:dyDescent="0.25">
      <c r="E78"/>
      <c r="J78" s="226" t="s">
        <v>908</v>
      </c>
      <c r="K78" s="226" t="s">
        <v>829</v>
      </c>
      <c r="L78" s="226" t="s">
        <v>909</v>
      </c>
      <c r="M78" s="226" t="s">
        <v>910</v>
      </c>
      <c r="N78" s="226" t="s">
        <v>911</v>
      </c>
      <c r="O78" s="226" t="s">
        <v>912</v>
      </c>
      <c r="P78" s="226" t="s">
        <v>913</v>
      </c>
      <c r="Q78" s="226" t="s">
        <v>830</v>
      </c>
      <c r="R78" s="226" t="s">
        <v>914</v>
      </c>
      <c r="S78" s="226" t="s">
        <v>915</v>
      </c>
      <c r="T78" s="226" t="s">
        <v>916</v>
      </c>
      <c r="U78" s="226" t="s">
        <v>917</v>
      </c>
      <c r="V78" s="226" t="s">
        <v>918</v>
      </c>
      <c r="W78" s="226" t="s">
        <v>919</v>
      </c>
      <c r="X78" s="226" t="s">
        <v>920</v>
      </c>
      <c r="Y78" s="226" t="s">
        <v>921</v>
      </c>
      <c r="Z78" s="226" t="s">
        <v>922</v>
      </c>
      <c r="AA78" s="226" t="s">
        <v>923</v>
      </c>
      <c r="AB78" s="226" t="s">
        <v>924</v>
      </c>
      <c r="AC78" s="226" t="s">
        <v>925</v>
      </c>
      <c r="AD78" s="226" t="s">
        <v>926</v>
      </c>
      <c r="AE78" s="226" t="s">
        <v>927</v>
      </c>
      <c r="AF78" s="226" t="s">
        <v>928</v>
      </c>
      <c r="AG78" s="226" t="s">
        <v>839</v>
      </c>
      <c r="AH78" s="226" t="s">
        <v>831</v>
      </c>
      <c r="AI78" s="226" t="s">
        <v>832</v>
      </c>
      <c r="AJ78" s="226" t="s">
        <v>833</v>
      </c>
      <c r="AK78" s="226" t="s">
        <v>834</v>
      </c>
      <c r="AL78" s="226" t="s">
        <v>835</v>
      </c>
    </row>
    <row r="79" spans="3:40" x14ac:dyDescent="0.25">
      <c r="C79" s="225"/>
      <c r="D79"/>
      <c r="E79" s="19" t="s">
        <v>793</v>
      </c>
      <c r="F79" s="19"/>
      <c r="G79" s="54" t="s">
        <v>168</v>
      </c>
      <c r="H79" s="19" t="s">
        <v>447</v>
      </c>
      <c r="I79" s="19"/>
      <c r="J79" s="297">
        <f>'Net revenue summary'!J206</f>
        <v>0.3824156918469111</v>
      </c>
      <c r="K79" s="297">
        <f>'Net revenue summary'!K206</f>
        <v>0</v>
      </c>
      <c r="L79" s="297">
        <f>'Net revenue summary'!L206</f>
        <v>0.37190708298708919</v>
      </c>
      <c r="M79" s="297">
        <f>'Net revenue summary'!M206</f>
        <v>0.3796932315404245</v>
      </c>
      <c r="N79" s="297">
        <f>'Net revenue summary'!N206</f>
        <v>0.387543591232485</v>
      </c>
      <c r="O79" s="297">
        <f>'Net revenue summary'!O206</f>
        <v>0.38922419670803293</v>
      </c>
      <c r="P79" s="297">
        <f>'Net revenue summary'!P206</f>
        <v>0.39016134839408001</v>
      </c>
      <c r="Q79" s="297">
        <f>'Net revenue summary'!Q206</f>
        <v>0</v>
      </c>
      <c r="R79" s="297">
        <f>'Net revenue summary'!R206</f>
        <v>0.39036567650013343</v>
      </c>
      <c r="S79" s="297">
        <f>'Net revenue summary'!S206</f>
        <v>0.3906636635785376</v>
      </c>
      <c r="T79" s="297">
        <f>'Net revenue summary'!T206</f>
        <v>0.39087248642249484</v>
      </c>
      <c r="U79" s="297">
        <f>'Net revenue summary'!U206</f>
        <v>0.39092927927748355</v>
      </c>
      <c r="V79" s="297">
        <f>'Net revenue summary'!V206</f>
        <v>0.39094265019426433</v>
      </c>
      <c r="W79" s="155"/>
      <c r="X79" s="155"/>
      <c r="Y79" s="155"/>
      <c r="Z79" s="155"/>
      <c r="AA79" s="155"/>
      <c r="AB79" s="155"/>
      <c r="AC79" s="155"/>
      <c r="AD79" s="155"/>
      <c r="AE79" s="155"/>
      <c r="AF79" s="155"/>
      <c r="AG79" s="297">
        <f>'Net revenue summary'!AG206</f>
        <v>0.39050050606717962</v>
      </c>
      <c r="AH79" s="297">
        <f>'Net revenue summary'!AH206</f>
        <v>0</v>
      </c>
      <c r="AI79" s="155"/>
      <c r="AJ79" s="297">
        <f>'Net revenue summary'!AJ206</f>
        <v>0</v>
      </c>
      <c r="AK79" s="155"/>
      <c r="AL79" s="155"/>
    </row>
    <row r="80" spans="3:40" x14ac:dyDescent="0.25">
      <c r="C80" s="225"/>
      <c r="D80"/>
      <c r="E80" s="28" t="s">
        <v>794</v>
      </c>
      <c r="F80" s="28"/>
      <c r="G80" s="57" t="s">
        <v>168</v>
      </c>
      <c r="H80" s="28" t="s">
        <v>448</v>
      </c>
      <c r="I80" s="28"/>
      <c r="J80" s="298">
        <f>'Net revenue summary'!J207</f>
        <v>0.57242245556168714</v>
      </c>
      <c r="K80" s="298">
        <f>'Net revenue summary'!K207</f>
        <v>0</v>
      </c>
      <c r="L80" s="298">
        <f>'Net revenue summary'!L207</f>
        <v>0.55626335472384103</v>
      </c>
      <c r="M80" s="298">
        <f>'Net revenue summary'!M207</f>
        <v>0.56844111545480014</v>
      </c>
      <c r="N80" s="298">
        <f>'Net revenue summary'!N207</f>
        <v>0.5798324038971715</v>
      </c>
      <c r="O80" s="298">
        <f>'Net revenue summary'!O207</f>
        <v>0.5823418881804111</v>
      </c>
      <c r="P80" s="298">
        <f>'Net revenue summary'!P207</f>
        <v>0.58373861401527927</v>
      </c>
      <c r="Q80" s="298">
        <f>'Net revenue summary'!Q207</f>
        <v>0</v>
      </c>
      <c r="R80" s="298">
        <f>'Net revenue summary'!R207</f>
        <v>0.58332421473274432</v>
      </c>
      <c r="S80" s="298">
        <f>'Net revenue summary'!S207</f>
        <v>0.58414531386543167</v>
      </c>
      <c r="T80" s="298">
        <f>'Net revenue summary'!T207</f>
        <v>0.58434039974567842</v>
      </c>
      <c r="U80" s="298">
        <f>'Net revenue summary'!U207</f>
        <v>0.58441368838628871</v>
      </c>
      <c r="V80" s="298">
        <f>'Net revenue summary'!V207</f>
        <v>0.58447115031334973</v>
      </c>
      <c r="W80" s="298">
        <f>'Net revenue summary'!W207</f>
        <v>0.30205531192277779</v>
      </c>
      <c r="X80" s="298">
        <f>'Net revenue summary'!X207</f>
        <v>0.30220453532575126</v>
      </c>
      <c r="Y80" s="298">
        <f>'Net revenue summary'!Y207</f>
        <v>0.30229370650061699</v>
      </c>
      <c r="Z80" s="298">
        <f>'Net revenue summary'!Z207</f>
        <v>0.30233111580198357</v>
      </c>
      <c r="AA80" s="298">
        <f>'Net revenue summary'!AA207</f>
        <v>0.30236569301944949</v>
      </c>
      <c r="AB80" s="298">
        <f>'Net revenue summary'!AB207</f>
        <v>0.17147781061693579</v>
      </c>
      <c r="AC80" s="298">
        <f>'Net revenue summary'!AC207</f>
        <v>0.17232127670734365</v>
      </c>
      <c r="AD80" s="298">
        <f>'Net revenue summary'!AD207</f>
        <v>0.17230227245035926</v>
      </c>
      <c r="AE80" s="298">
        <f>'Net revenue summary'!AE207</f>
        <v>0.17233201636065898</v>
      </c>
      <c r="AF80" s="298">
        <f>'Net revenue summary'!AF207</f>
        <v>0.1723420780326563</v>
      </c>
      <c r="AG80" s="298">
        <f>'Net revenue summary'!AG207</f>
        <v>0.58453564107631206</v>
      </c>
      <c r="AH80" s="298">
        <f>'Net revenue summary'!AH207</f>
        <v>0</v>
      </c>
      <c r="AI80" s="298">
        <f>'Net revenue summary'!AI207</f>
        <v>0</v>
      </c>
      <c r="AJ80" s="298">
        <f>'Net revenue summary'!AJ207</f>
        <v>0</v>
      </c>
      <c r="AK80" s="298">
        <f>'Net revenue summary'!AL207</f>
        <v>0</v>
      </c>
      <c r="AL80" s="298">
        <f>'Net revenue summary'!AN207</f>
        <v>-2.8172449492011611E-2</v>
      </c>
    </row>
    <row r="82" spans="2:40" x14ac:dyDescent="0.25">
      <c r="B82" s="25" t="s">
        <v>232</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25">
      <c r="E84" t="s">
        <v>233</v>
      </c>
      <c r="G84" s="6" t="s">
        <v>56</v>
      </c>
      <c r="H84" s="93">
        <f t="array" ref="H84">SUM(IF(ISERROR(H19:AL81), 1))</f>
        <v>0</v>
      </c>
    </row>
    <row r="86" spans="2:40" x14ac:dyDescent="0.25">
      <c r="B86" s="25" t="s">
        <v>107</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National Grid Electricity Distribution (South West) plc - [enter data version name]</v>
      </c>
    </row>
    <row r="3" spans="1:9" s="5" customFormat="1" x14ac:dyDescent="0.25">
      <c r="A3" s="5" t="str">
        <f>Cover!D2&amp;" - "&amp;Cover!D8&amp;" v"&amp;Cover!D10&amp;" - "&amp;Cover!D19</f>
        <v>CDCM charging model - Release for charge setting v9 - 2024/25</v>
      </c>
    </row>
    <row r="5" spans="1:9" customFormat="1" x14ac:dyDescent="0.25">
      <c r="A5" s="8"/>
      <c r="B5" s="31" t="s">
        <v>108</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107</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National Grid Electricity Distribution (South West) plc - [enter data version name]</v>
      </c>
    </row>
    <row r="3" spans="1:7" s="5" customFormat="1" x14ac:dyDescent="0.25">
      <c r="A3" s="5" t="str">
        <f>Cover!D2&amp;" - "&amp;Cover!D8&amp;" v"&amp;Cover!D10&amp;" - "&amp;Cover!D19</f>
        <v>CDCM charging model - Release for charge setting v9 - 2024/25</v>
      </c>
    </row>
    <row r="5" spans="1:7" x14ac:dyDescent="0.25">
      <c r="B5" s="25" t="s">
        <v>11</v>
      </c>
      <c r="C5" s="25"/>
      <c r="D5" s="25"/>
      <c r="E5" s="25"/>
      <c r="F5" s="25"/>
      <c r="G5" s="25"/>
    </row>
    <row r="7" spans="1:7" x14ac:dyDescent="0.25">
      <c r="C7" s="24" t="s">
        <v>109</v>
      </c>
    </row>
    <row r="8" spans="1:7" x14ac:dyDescent="0.25">
      <c r="C8" s="24" t="s">
        <v>110</v>
      </c>
    </row>
    <row r="10" spans="1:7" x14ac:dyDescent="0.25">
      <c r="B10" s="25" t="s">
        <v>111</v>
      </c>
      <c r="C10" s="25"/>
      <c r="D10" s="25"/>
      <c r="E10" s="25"/>
      <c r="F10" s="25"/>
      <c r="G10" s="25"/>
    </row>
    <row r="12" spans="1:7" x14ac:dyDescent="0.25">
      <c r="C12" s="24" t="s">
        <v>112</v>
      </c>
    </row>
    <row r="14" spans="1:7" ht="15.75" thickBot="1" x14ac:dyDescent="0.3">
      <c r="F14" s="307" t="s">
        <v>113</v>
      </c>
      <c r="G14" s="276" t="s">
        <v>114</v>
      </c>
    </row>
    <row r="15" spans="1:7" ht="16.5" thickTop="1" thickBot="1" x14ac:dyDescent="0.3">
      <c r="F15" s="278" t="s">
        <v>115</v>
      </c>
    </row>
    <row r="16" spans="1:7" ht="15.75" thickTop="1" x14ac:dyDescent="0.25">
      <c r="F16" s="278" t="s">
        <v>116</v>
      </c>
      <c r="G16" s="48" t="str">
        <f>'Version control'!$B$5</f>
        <v>Model version</v>
      </c>
    </row>
    <row r="17" spans="6:7" x14ac:dyDescent="0.25">
      <c r="F17" s="277" t="s">
        <v>117</v>
      </c>
      <c r="G17" s="48" t="str">
        <f>'Version control'!$B$17</f>
        <v>Version log</v>
      </c>
    </row>
    <row r="18" spans="6:7" x14ac:dyDescent="0.25">
      <c r="F18" s="277" t="s">
        <v>117</v>
      </c>
      <c r="G18" s="48" t="str">
        <f>'Version control'!$B$35</f>
        <v>Model checks</v>
      </c>
    </row>
    <row r="19" spans="6:7" ht="15.75" thickBot="1" x14ac:dyDescent="0.3">
      <c r="F19" s="277" t="s">
        <v>117</v>
      </c>
      <c r="G19" s="48" t="str">
        <f>'Version control'!$B$64</f>
        <v>Version log lists</v>
      </c>
    </row>
    <row r="20" spans="6:7" ht="16.5" thickTop="1" thickBot="1" x14ac:dyDescent="0.3">
      <c r="F20" s="278" t="s">
        <v>108</v>
      </c>
      <c r="G20" s="48" t="str">
        <f>'Model map'!$B$5</f>
        <v>Model map</v>
      </c>
    </row>
    <row r="21" spans="6:7" ht="16.5" thickTop="1" thickBot="1" x14ac:dyDescent="0.3">
      <c r="F21" s="278" t="s">
        <v>118</v>
      </c>
      <c r="G21" s="48" t="str">
        <f>'Named ranges'!$B$5</f>
        <v>List of named ranges</v>
      </c>
    </row>
    <row r="22" spans="6:7" ht="16.5" thickTop="1" thickBot="1" x14ac:dyDescent="0.3">
      <c r="F22" s="280" t="s">
        <v>54</v>
      </c>
      <c r="G22" s="48" t="str">
        <f>'Fixed inputs'!$B$11</f>
        <v>Fixed inputs</v>
      </c>
    </row>
    <row r="23" spans="6:7" ht="16.5" thickTop="1" thickBot="1" x14ac:dyDescent="0.3">
      <c r="F23" s="280" t="s">
        <v>57</v>
      </c>
      <c r="G23" s="48" t="str">
        <f>'Inputs by customer type'!$B$11</f>
        <v>Inputs by customer type</v>
      </c>
    </row>
    <row r="24" spans="6:7" ht="16.5" thickTop="1" thickBot="1" x14ac:dyDescent="0.3">
      <c r="F24" s="280" t="s">
        <v>59</v>
      </c>
      <c r="G24" s="48" t="str">
        <f>'Inputs by network level'!$B$11</f>
        <v>Inputs by network level</v>
      </c>
    </row>
    <row r="25" spans="6:7" ht="16.5" thickTop="1" thickBot="1" x14ac:dyDescent="0.3">
      <c r="F25" s="280" t="s">
        <v>61</v>
      </c>
      <c r="G25" s="48" t="str">
        <f>'General inputs'!$B$11</f>
        <v>General inputs</v>
      </c>
    </row>
    <row r="26" spans="6:7" ht="16.5" thickTop="1" thickBot="1" x14ac:dyDescent="0.3">
      <c r="F26" s="282" t="s">
        <v>121</v>
      </c>
      <c r="G26" s="48" t="str">
        <f>'Standing charge factors'!$B$17</f>
        <v>Adjustments to standing charges</v>
      </c>
    </row>
    <row r="27" spans="6:7" ht="15.75" thickTop="1" x14ac:dyDescent="0.25">
      <c r="F27" s="282" t="s">
        <v>65</v>
      </c>
      <c r="G27" s="48" t="str">
        <f>'Load &amp; loss characteristics'!$B$13</f>
        <v>Load and loss characteristics</v>
      </c>
    </row>
    <row r="28" spans="6:7" ht="15.75" thickBot="1" x14ac:dyDescent="0.3">
      <c r="F28" s="281" t="s">
        <v>117</v>
      </c>
      <c r="G28" s="48" t="str">
        <f>'Load &amp; loss characteristics'!$B$31</f>
        <v>User loss factor adjustments</v>
      </c>
    </row>
    <row r="29" spans="6:7" ht="16.5" thickTop="1" thickBot="1" x14ac:dyDescent="0.3">
      <c r="F29" s="282" t="s">
        <v>67</v>
      </c>
      <c r="G29" s="48" t="str">
        <f>'Customer contributions'!$B$12</f>
        <v>Customer contributions</v>
      </c>
    </row>
    <row r="30" spans="6:7" ht="15.75" thickTop="1" x14ac:dyDescent="0.25">
      <c r="F30" s="282" t="s">
        <v>69</v>
      </c>
      <c r="G30" s="48" t="str">
        <f>'Volume adjustments'!$B$13</f>
        <v>LDNO discounts</v>
      </c>
    </row>
    <row r="31" spans="6:7" x14ac:dyDescent="0.25">
      <c r="F31" s="281" t="s">
        <v>117</v>
      </c>
      <c r="G31" s="48" t="str">
        <f>'Volume adjustments'!$B$51</f>
        <v>Volume discounting</v>
      </c>
    </row>
    <row r="32" spans="6:7" ht="15.75" thickBot="1" x14ac:dyDescent="0.3">
      <c r="F32" s="281" t="s">
        <v>117</v>
      </c>
      <c r="G32" s="48" t="str">
        <f>'Volume adjustments'!$B$310</f>
        <v>Volume discounting for revenue matching</v>
      </c>
    </row>
    <row r="33" spans="6:7" ht="15.75" thickTop="1" x14ac:dyDescent="0.25">
      <c r="F33" s="282" t="s">
        <v>71</v>
      </c>
      <c r="G33" s="48" t="str">
        <f>'Pseudo-load coefficients'!$B$13</f>
        <v>Step 1: Ratio of coincidence to load factor assuming units evenly spread within time bands, and peak falls in Red period</v>
      </c>
    </row>
    <row r="34" spans="6:7" x14ac:dyDescent="0.25">
      <c r="F34" s="281" t="s">
        <v>117</v>
      </c>
      <c r="G34" s="48" t="str">
        <f>'Pseudo-load coefficients'!$B$56</f>
        <v>Step 2: Calculate correction factor</v>
      </c>
    </row>
    <row r="35" spans="6:7" x14ac:dyDescent="0.25">
      <c r="F35" s="281" t="s">
        <v>117</v>
      </c>
      <c r="G35" s="48" t="str">
        <f>'Pseudo-load coefficients'!$B$95</f>
        <v>Step 3: Ratio of coincidence factor (to network asset peak) to load factor, given peaking probabilities, multiplied by correction factor</v>
      </c>
    </row>
    <row r="36" spans="6:7" ht="15.75" thickBot="1" x14ac:dyDescent="0.3">
      <c r="F36" s="281" t="s">
        <v>117</v>
      </c>
      <c r="G36" s="48" t="str">
        <f>'Pseudo-load coefficients'!$B$261</f>
        <v>Step 4: Results of Step 3</v>
      </c>
    </row>
    <row r="37" spans="6:7" ht="15.75" thickTop="1" x14ac:dyDescent="0.25">
      <c r="F37" s="282" t="s">
        <v>73</v>
      </c>
      <c r="G37" s="48" t="str">
        <f>'System peak demand'!$B$16</f>
        <v>Common inputs for chargeable load calculations</v>
      </c>
    </row>
    <row r="38" spans="6:7" x14ac:dyDescent="0.25">
      <c r="F38" s="281" t="s">
        <v>117</v>
      </c>
      <c r="G38" s="48" t="str">
        <f>'System peak demand'!$B$63</f>
        <v>Load at system peak charged to unit rates</v>
      </c>
    </row>
    <row r="39" spans="6:7" x14ac:dyDescent="0.25">
      <c r="F39" s="281" t="s">
        <v>117</v>
      </c>
      <c r="G39" s="48" t="str">
        <f>'System peak demand'!$B$179</f>
        <v>Load at system peak charged to standing charges</v>
      </c>
    </row>
    <row r="40" spans="6:7" ht="15.75" thickBot="1" x14ac:dyDescent="0.3">
      <c r="F40" s="281" t="s">
        <v>117</v>
      </c>
      <c r="G40" s="48" t="str">
        <f>'System peak demand'!$B$262</f>
        <v>System peak based on chargeable load</v>
      </c>
    </row>
    <row r="41" spans="6:7" ht="16.5" thickTop="1" thickBot="1" x14ac:dyDescent="0.3">
      <c r="F41" s="282" t="s">
        <v>75</v>
      </c>
      <c r="G41" s="48" t="str">
        <f>'Service model assets'!$B$12</f>
        <v>Service model notional asset values</v>
      </c>
    </row>
    <row r="42" spans="6:7" ht="15.75" thickTop="1" x14ac:dyDescent="0.25">
      <c r="F42" s="282" t="s">
        <v>77</v>
      </c>
      <c r="G42" s="48" t="str">
        <f>'Unit costs'!$B$15</f>
        <v>500MW model costs</v>
      </c>
    </row>
    <row r="43" spans="6:7" x14ac:dyDescent="0.25">
      <c r="F43" s="281" t="s">
        <v>117</v>
      </c>
      <c r="G43" s="48" t="str">
        <f>'Unit costs'!$B$58</f>
        <v>Allocation of other costs</v>
      </c>
    </row>
    <row r="44" spans="6:7" ht="15.75" thickBot="1" x14ac:dyDescent="0.3">
      <c r="F44" s="281" t="s">
        <v>117</v>
      </c>
      <c r="G44" s="48" t="str">
        <f>'Unit costs'!$B$102</f>
        <v>Outputs</v>
      </c>
    </row>
    <row r="45" spans="6:7" ht="15.75" thickTop="1" x14ac:dyDescent="0.25">
      <c r="F45" s="282" t="s">
        <v>79</v>
      </c>
      <c r="G45" s="48" t="str">
        <f>'Initial unit rates'!$B$11</f>
        <v>Inputs for yardstick and unit rate calculations</v>
      </c>
    </row>
    <row r="46" spans="6:7" ht="15.75" thickBot="1" x14ac:dyDescent="0.3">
      <c r="F46" s="281" t="s">
        <v>117</v>
      </c>
      <c r="G46" s="48" t="str">
        <f>'Initial unit rates'!$B$116</f>
        <v>Calculation of yardstick &amp; unit rate charges</v>
      </c>
    </row>
    <row r="47" spans="6:7" ht="15.75" thickTop="1" x14ac:dyDescent="0.25">
      <c r="F47" s="282" t="s">
        <v>81</v>
      </c>
      <c r="G47" s="48" t="str">
        <f>'Service model charges'!$B$13</f>
        <v>Inputs to service model charge calculation</v>
      </c>
    </row>
    <row r="48" spans="6:7" ht="15.75" thickBot="1" x14ac:dyDescent="0.3">
      <c r="F48" s="281" t="s">
        <v>117</v>
      </c>
      <c r="G48" s="48" t="str">
        <f>'Service model charges'!$B$29</f>
        <v>Allocation of service model costs</v>
      </c>
    </row>
    <row r="49" spans="6:7" ht="15.75" thickTop="1" x14ac:dyDescent="0.25">
      <c r="F49" s="282" t="s">
        <v>83</v>
      </c>
      <c r="G49" s="48" t="str">
        <f>'Unit rate charges'!$B$15</f>
        <v>Inputs to unit rate charge calculations</v>
      </c>
    </row>
    <row r="50" spans="6:7" ht="15.75" thickBot="1" x14ac:dyDescent="0.3">
      <c r="F50" s="281" t="s">
        <v>117</v>
      </c>
      <c r="G50" s="48" t="str">
        <f>'Unit rate charges'!$B$122</f>
        <v>Application of standing charges to unit rates</v>
      </c>
    </row>
    <row r="51" spans="6:7" ht="15.75" thickTop="1" x14ac:dyDescent="0.25">
      <c r="F51" s="282" t="s">
        <v>87</v>
      </c>
      <c r="G51" s="48" t="str">
        <f>'Capacity charges'!$B$17</f>
        <v>Inputs to capacity charge calculations</v>
      </c>
    </row>
    <row r="52" spans="6:7" x14ac:dyDescent="0.25">
      <c r="F52" s="281" t="s">
        <v>117</v>
      </c>
      <c r="G52" s="48" t="str">
        <f>'Capacity charges'!$B$125</f>
        <v>Calculation of capacity charges</v>
      </c>
    </row>
    <row r="53" spans="6:7" ht="15.75" thickBot="1" x14ac:dyDescent="0.3">
      <c r="F53" s="281" t="s">
        <v>117</v>
      </c>
      <c r="G53" s="48" t="str">
        <f>'Capacity charges'!$B$249</f>
        <v>Capacity charges (and elements allocated to fixed charges)</v>
      </c>
    </row>
    <row r="54" spans="6:7" ht="15.75" thickTop="1" x14ac:dyDescent="0.25">
      <c r="F54" s="282" t="s">
        <v>85</v>
      </c>
      <c r="G54" s="48" t="str">
        <f>'Reactive power charges'!$B$13</f>
        <v>Inputs to reactive power charge calculations</v>
      </c>
    </row>
    <row r="55" spans="6:7" x14ac:dyDescent="0.25">
      <c r="F55" s="281" t="s">
        <v>117</v>
      </c>
      <c r="G55" s="48" t="str">
        <f>'Reactive power charges'!$B$150</f>
        <v>Calculation of yardstick charges for generation</v>
      </c>
    </row>
    <row r="56" spans="6:7" ht="15.75" thickBot="1" x14ac:dyDescent="0.3">
      <c r="F56" s="281" t="s">
        <v>117</v>
      </c>
      <c r="G56" s="48" t="str">
        <f>'Reactive power charges'!$B$185</f>
        <v>Calculation of reactive power charges</v>
      </c>
    </row>
    <row r="57" spans="6:7" ht="15.75" thickTop="1" x14ac:dyDescent="0.25">
      <c r="F57" s="282" t="s">
        <v>89</v>
      </c>
      <c r="G57" s="48" t="str">
        <f>'Fixed charges'!$B$14</f>
        <v>Inputs to fixed charge calculations</v>
      </c>
    </row>
    <row r="58" spans="6:7" ht="15.75" thickBot="1" x14ac:dyDescent="0.3">
      <c r="F58" s="281" t="s">
        <v>117</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91</v>
      </c>
      <c r="G60" s="48" t="str">
        <f>'Revenue matching'!$B$13</f>
        <v>Pre-matching net revenue calculations</v>
      </c>
    </row>
    <row r="61" spans="6:7" x14ac:dyDescent="0.25">
      <c r="F61" s="281" t="s">
        <v>117</v>
      </c>
      <c r="G61" s="48" t="str">
        <f>'Revenue matching'!$B$87</f>
        <v>Residual charge calculation</v>
      </c>
    </row>
    <row r="62" spans="6:7" x14ac:dyDescent="0.25">
      <c r="F62" s="281" t="s">
        <v>117</v>
      </c>
      <c r="G62" s="48" t="str">
        <f>'Revenue matching'!$B$210</f>
        <v>Adjustments for negative fixed charges</v>
      </c>
    </row>
    <row r="63" spans="6:7" ht="15.75" thickBot="1" x14ac:dyDescent="0.3">
      <c r="F63" s="281" t="s">
        <v>117</v>
      </c>
      <c r="G63" s="48" t="str">
        <f>'Revenue matching'!$B$408</f>
        <v>Final adders</v>
      </c>
    </row>
    <row r="64" spans="6:7" ht="15.75" thickTop="1" x14ac:dyDescent="0.25">
      <c r="F64" s="282" t="s">
        <v>93</v>
      </c>
      <c r="G64" s="48" t="str">
        <f>Rounding!$B$12</f>
        <v>Inputs</v>
      </c>
    </row>
    <row r="65" spans="2:7" ht="15.75" thickBot="1" x14ac:dyDescent="0.3">
      <c r="F65" s="281" t="s">
        <v>117</v>
      </c>
      <c r="G65" s="48" t="str">
        <f>Rounding!$B$103</f>
        <v>Rounding of tariff forecast</v>
      </c>
    </row>
    <row r="66" spans="2:7" ht="15.75" thickTop="1" x14ac:dyDescent="0.25">
      <c r="F66" s="282" t="s">
        <v>95</v>
      </c>
      <c r="G66" s="48" t="str">
        <f>'Net revenue summary'!$B$11</f>
        <v>Inputs to net revenue summary calculation</v>
      </c>
    </row>
    <row r="67" spans="2:7" x14ac:dyDescent="0.25">
      <c r="F67" s="281" t="s">
        <v>117</v>
      </c>
      <c r="G67" s="48" t="str">
        <f>'Net revenue summary'!$B$90</f>
        <v>Typical bills</v>
      </c>
    </row>
    <row r="68" spans="2:7" x14ac:dyDescent="0.25">
      <c r="F68" s="281" t="s">
        <v>117</v>
      </c>
      <c r="G68" s="48" t="str">
        <f>'Net revenue summary'!$B$150</f>
        <v>Comparison with previous year</v>
      </c>
    </row>
    <row r="69" spans="2:7" ht="15.75" thickBot="1" x14ac:dyDescent="0.3">
      <c r="F69" s="281" t="s">
        <v>117</v>
      </c>
      <c r="G69" s="48" t="str">
        <f>'Net revenue summary'!$B$176</f>
        <v>LDNO margins</v>
      </c>
    </row>
    <row r="70" spans="2:7" ht="16.5" thickTop="1" thickBot="1" x14ac:dyDescent="0.3">
      <c r="F70" s="284" t="s">
        <v>97</v>
      </c>
      <c r="G70" s="48" t="str">
        <f>'Tariff summary'!$B$11</f>
        <v>Tariff summary</v>
      </c>
    </row>
    <row r="71" spans="2:7" ht="15.75" thickTop="1" x14ac:dyDescent="0.25">
      <c r="F71" s="284" t="s">
        <v>99</v>
      </c>
      <c r="G71" s="48" t="str">
        <f>'Output to other models'!$B$12</f>
        <v>Outputs for PCDM</v>
      </c>
    </row>
    <row r="72" spans="2:7" x14ac:dyDescent="0.25">
      <c r="F72" s="283" t="s">
        <v>117</v>
      </c>
      <c r="G72" s="48" t="str">
        <f>'Output to other models'!$B$31</f>
        <v>Outputs for EDCM</v>
      </c>
    </row>
    <row r="73" spans="2:7" x14ac:dyDescent="0.25">
      <c r="F73" s="283" t="s">
        <v>117</v>
      </c>
      <c r="G73" s="48" t="str">
        <f>'Output to other models'!$B$61</f>
        <v>Outputs for users' internal use</v>
      </c>
    </row>
    <row r="75" spans="2:7" x14ac:dyDescent="0.25">
      <c r="B75" s="25" t="s">
        <v>119</v>
      </c>
      <c r="C75" s="25"/>
      <c r="D75" s="25"/>
      <c r="E75" s="25"/>
      <c r="F75" s="25"/>
      <c r="G75" s="25"/>
    </row>
    <row r="77" spans="2:7" x14ac:dyDescent="0.25">
      <c r="C77" s="24" t="s">
        <v>120</v>
      </c>
    </row>
    <row r="79" spans="2:7" ht="15.75" thickBot="1" x14ac:dyDescent="0.3">
      <c r="F79" s="307" t="s">
        <v>113</v>
      </c>
      <c r="G79" s="276" t="s">
        <v>114</v>
      </c>
    </row>
    <row r="80" spans="2:7" ht="15.75" thickTop="1" x14ac:dyDescent="0.25">
      <c r="F80" s="280" t="s">
        <v>54</v>
      </c>
      <c r="G80" s="48" t="str">
        <f ca="1">'Fixed inputs'!$C$13</f>
        <v>Input 101-A: Conversions and time</v>
      </c>
    </row>
    <row r="81" spans="6:7" x14ac:dyDescent="0.25">
      <c r="F81" s="279" t="s">
        <v>117</v>
      </c>
      <c r="G81" s="48" t="str">
        <f ca="1">'Fixed inputs'!$C$20</f>
        <v>Input 101-B: Input 101-B: Rounding</v>
      </c>
    </row>
    <row r="82" spans="6:7" x14ac:dyDescent="0.25">
      <c r="F82" s="279" t="s">
        <v>117</v>
      </c>
      <c r="G82" s="48" t="str">
        <f ca="1">'Fixed inputs'!$C$33</f>
        <v>Input 101-C: Financial and general assumptions</v>
      </c>
    </row>
    <row r="83" spans="6:7" x14ac:dyDescent="0.25">
      <c r="F83" s="279" t="s">
        <v>117</v>
      </c>
      <c r="G83" s="48" t="str">
        <f ca="1">'Fixed inputs'!$C$43</f>
        <v>Input 101-D: Mappings</v>
      </c>
    </row>
    <row r="84" spans="6:7" x14ac:dyDescent="0.25">
      <c r="F84" s="279" t="s">
        <v>117</v>
      </c>
      <c r="G84" s="48" t="str">
        <f ca="1">'Fixed inputs'!$C$84</f>
        <v>Input 101-E: Standing charge factors</v>
      </c>
    </row>
    <row r="85" spans="6:7" x14ac:dyDescent="0.25">
      <c r="F85" s="279" t="s">
        <v>117</v>
      </c>
      <c r="G85" s="48" t="str">
        <f ca="1">'Fixed inputs'!$C$99</f>
        <v>Input 101-F: Flags</v>
      </c>
    </row>
    <row r="86" spans="6:7" x14ac:dyDescent="0.25">
      <c r="F86" s="279" t="s">
        <v>117</v>
      </c>
      <c r="G86" s="48" t="str">
        <f ca="1">'Fixed inputs'!$C$141</f>
        <v>Input 101-G: Identifiers for customer groupings</v>
      </c>
    </row>
    <row r="87" spans="6:7" x14ac:dyDescent="0.25">
      <c r="F87" s="279" t="s">
        <v>117</v>
      </c>
      <c r="G87" s="48" t="str">
        <f ca="1">'Fixed inputs'!$C$151</f>
        <v>Input 101-H: Decimal places for error checks</v>
      </c>
    </row>
    <row r="88" spans="6:7" x14ac:dyDescent="0.25">
      <c r="F88" s="279" t="s">
        <v>117</v>
      </c>
      <c r="G88" s="48" t="str">
        <f ca="1">'Fixed inputs'!$C$155</f>
        <v>Input 101-I: Map of applicable MPANs</v>
      </c>
    </row>
    <row r="89" spans="6:7" ht="15.75" thickBot="1" x14ac:dyDescent="0.3">
      <c r="F89" s="279" t="s">
        <v>117</v>
      </c>
      <c r="G89" s="48" t="str">
        <f ca="1">'Fixed inputs'!$C$162</f>
        <v>Input 101-J: Revenue matching inputs</v>
      </c>
    </row>
    <row r="90" spans="6:7" ht="15.75" thickTop="1" x14ac:dyDescent="0.25">
      <c r="F90" s="280" t="s">
        <v>57</v>
      </c>
      <c r="G90" s="48" t="str">
        <f ca="1">'Inputs by customer type'!$C$13</f>
        <v>Input 102-A: Load characteristics</v>
      </c>
    </row>
    <row r="91" spans="6:7" x14ac:dyDescent="0.25">
      <c r="F91" s="279" t="s">
        <v>117</v>
      </c>
      <c r="G91" s="48" t="str">
        <f ca="1">'Inputs by customer type'!$C$18</f>
        <v>Input 102-B: Volume forecasts for the charging year</v>
      </c>
    </row>
    <row r="92" spans="6:7" x14ac:dyDescent="0.25">
      <c r="F92" s="279" t="s">
        <v>117</v>
      </c>
      <c r="G92" s="48" t="str">
        <f ca="1">'Inputs by customer type'!$C$163</f>
        <v>Input 102-C: Non-Domestic Aggregated (Related MPAN) distribution by bands</v>
      </c>
    </row>
    <row r="93" spans="6:7" x14ac:dyDescent="0.25">
      <c r="F93" s="279" t="s">
        <v>117</v>
      </c>
      <c r="G93" s="48" t="str">
        <f ca="1">'Inputs by customer type'!$C$183</f>
        <v>Input 102-D: Service model asset values</v>
      </c>
    </row>
    <row r="94" spans="6:7" x14ac:dyDescent="0.25">
      <c r="F94" s="279" t="s">
        <v>117</v>
      </c>
      <c r="G94" s="48" t="str">
        <f ca="1">'Inputs by customer type'!$C$192</f>
        <v>Input 102-E: Previous year all-the-way tariff forecast</v>
      </c>
    </row>
    <row r="95" spans="6:7" ht="15.75" thickBot="1" x14ac:dyDescent="0.3">
      <c r="F95" s="279" t="s">
        <v>117</v>
      </c>
      <c r="G95" s="48" t="str">
        <f ca="1">'Inputs by customer type'!$C$206</f>
        <v>Input 102-F: Previous year net revenue (if known)</v>
      </c>
    </row>
    <row r="96" spans="6:7" ht="15.75" thickTop="1" x14ac:dyDescent="0.25">
      <c r="F96" s="280" t="s">
        <v>59</v>
      </c>
      <c r="G96" s="48" t="str">
        <f ca="1">'Inputs by network level'!$C$13</f>
        <v>Input 103-A: Network and load inputs</v>
      </c>
    </row>
    <row r="97" spans="6:7" x14ac:dyDescent="0.25">
      <c r="F97" s="279" t="s">
        <v>117</v>
      </c>
      <c r="G97" s="48" t="str">
        <f ca="1">'Inputs by network level'!$C$23</f>
        <v>Input 103-B: Customer contributions under current connection charging policy</v>
      </c>
    </row>
    <row r="98" spans="6:7" x14ac:dyDescent="0.25">
      <c r="F98" s="279" t="s">
        <v>117</v>
      </c>
      <c r="G98" s="48" t="str">
        <f ca="1">'Inputs by network level'!$C$31</f>
        <v>Input 103-C: DRM asset costs</v>
      </c>
    </row>
    <row r="99" spans="6:7" ht="15.75" thickBot="1" x14ac:dyDescent="0.3">
      <c r="F99" s="279" t="s">
        <v>117</v>
      </c>
      <c r="G99" s="48" t="str">
        <f ca="1">'Inputs by network level'!$C$35</f>
        <v>Input 103-D: Peaking probabilities by network level</v>
      </c>
    </row>
    <row r="100" spans="6:7" ht="15.75" thickTop="1" x14ac:dyDescent="0.25">
      <c r="F100" s="280" t="s">
        <v>61</v>
      </c>
      <c r="G100" s="48" t="str">
        <f ca="1">'General inputs'!$C$13</f>
        <v>Input 104-A: Inputs by distribution timeband</v>
      </c>
    </row>
    <row r="101" spans="6:7" x14ac:dyDescent="0.25">
      <c r="F101" s="279" t="s">
        <v>117</v>
      </c>
      <c r="G101" s="48" t="str">
        <f ca="1">'General inputs'!$C$25</f>
        <v>Input 104-B: LDNO discount inputs</v>
      </c>
    </row>
    <row r="102" spans="6:7" x14ac:dyDescent="0.25">
      <c r="F102" s="279" t="s">
        <v>117</v>
      </c>
      <c r="G102" s="48" t="str">
        <f ca="1">'General inputs'!$C$35</f>
        <v>Input 104-C: CDCM target revenue</v>
      </c>
    </row>
    <row r="103" spans="6:7" x14ac:dyDescent="0.25">
      <c r="F103" s="279" t="s">
        <v>117</v>
      </c>
      <c r="G103" s="48" t="str">
        <f ca="1">'General inputs'!$C$90</f>
        <v>Input 104-D: Financial and general assumptions</v>
      </c>
    </row>
    <row r="104" spans="6:7" x14ac:dyDescent="0.25">
      <c r="F104" s="279" t="s">
        <v>117</v>
      </c>
      <c r="G104" s="48" t="str">
        <f ca="1">'General inputs'!$C$96</f>
        <v>Input 104-E: Transmission exit charges</v>
      </c>
    </row>
    <row r="105" spans="6:7" ht="15.75" thickBot="1" x14ac:dyDescent="0.3">
      <c r="F105" s="279" t="s">
        <v>117</v>
      </c>
      <c r="G105" s="48" t="str">
        <f ca="1">'General inputs'!$C$100</f>
        <v>Input 104-F: Other expenditure</v>
      </c>
    </row>
    <row r="106" spans="6:7" ht="16.5" thickTop="1" thickBot="1" x14ac:dyDescent="0.3">
      <c r="F106" s="282" t="s">
        <v>121</v>
      </c>
      <c r="G106" s="48" t="str">
        <f ca="1">'Standing charge factors'!$C$19</f>
        <v>Section 101-A: Adjustments to standing charges</v>
      </c>
    </row>
    <row r="107" spans="6:7" ht="15.75" thickTop="1" x14ac:dyDescent="0.25">
      <c r="F107" s="282" t="s">
        <v>65</v>
      </c>
      <c r="G107" s="48" t="str">
        <f ca="1">'Load &amp; loss characteristics'!$C$17</f>
        <v>Section 102-A: Load characteristics</v>
      </c>
    </row>
    <row r="108" spans="6:7" x14ac:dyDescent="0.25">
      <c r="F108" s="281" t="s">
        <v>117</v>
      </c>
      <c r="G108" s="48" t="str">
        <f ca="1">'Load &amp; loss characteristics'!$C$25</f>
        <v>Section 102-B: Loss adjustment factors</v>
      </c>
    </row>
    <row r="109" spans="6:7" x14ac:dyDescent="0.25">
      <c r="F109" s="281" t="s">
        <v>117</v>
      </c>
      <c r="G109" s="48" t="str">
        <f ca="1">'Load &amp; loss characteristics'!$C$35</f>
        <v>Section 102-C: Proportion of relevant load going through 132kV/HV direct transformation</v>
      </c>
    </row>
    <row r="110" spans="6:7" x14ac:dyDescent="0.25">
      <c r="F110" s="281" t="s">
        <v>117</v>
      </c>
      <c r="G110" s="48" t="str">
        <f ca="1">'Load &amp; loss characteristics'!$C$40</f>
        <v>Section 102-D: Network use factors</v>
      </c>
    </row>
    <row r="111" spans="6:7" ht="15.75" thickBot="1" x14ac:dyDescent="0.3">
      <c r="F111" s="281" t="s">
        <v>117</v>
      </c>
      <c r="G111" s="48" t="str">
        <f ca="1">'Load &amp; loss characteristics'!$C$121</f>
        <v>Section 102-E: User loss factors</v>
      </c>
    </row>
    <row r="112" spans="6:7" ht="15.75" thickTop="1" x14ac:dyDescent="0.25">
      <c r="F112" s="282" t="s">
        <v>67</v>
      </c>
      <c r="G112" s="48" t="str">
        <f ca="1">'Customer contributions'!$C$16</f>
        <v>Section 103-A: Network use factors</v>
      </c>
    </row>
    <row r="113" spans="6:7" ht="15.75" thickBot="1" x14ac:dyDescent="0.3">
      <c r="F113" s="281" t="s">
        <v>117</v>
      </c>
      <c r="G113" s="48" t="str">
        <f ca="1">'Customer contributions'!$C$38</f>
        <v>Section 103-B: Customer contributions</v>
      </c>
    </row>
    <row r="114" spans="6:7" ht="15.75" thickTop="1" x14ac:dyDescent="0.25">
      <c r="F114" s="282" t="s">
        <v>69</v>
      </c>
      <c r="G114" s="48" t="str">
        <f ca="1">'Volume adjustments'!$C$15</f>
        <v>Section 104-A: LDNO discounts</v>
      </c>
    </row>
    <row r="115" spans="6:7" x14ac:dyDescent="0.25">
      <c r="F115" s="281" t="s">
        <v>117</v>
      </c>
      <c r="G115" s="48" t="str">
        <f ca="1">'Volume adjustments'!$C$53</f>
        <v>Section 104-B: Aggregation of volumes</v>
      </c>
    </row>
    <row r="116" spans="6:7" x14ac:dyDescent="0.25">
      <c r="F116" s="281" t="s">
        <v>117</v>
      </c>
      <c r="G116" s="48" t="str">
        <f ca="1">'Volume adjustments'!$C$225</f>
        <v>Section 104-C: Volume discounting</v>
      </c>
    </row>
    <row r="117" spans="6:7" x14ac:dyDescent="0.25">
      <c r="F117" s="281" t="s">
        <v>117</v>
      </c>
      <c r="G117" s="48" t="str">
        <f ca="1">'Volume adjustments'!$C$332</f>
        <v>Section 104-D: No residual volume discounting</v>
      </c>
    </row>
    <row r="118" spans="6:7" x14ac:dyDescent="0.25">
      <c r="F118" s="281" t="s">
        <v>117</v>
      </c>
      <c r="G118" s="48" t="str">
        <f ca="1">'Volume adjustments'!$C$361</f>
        <v>Section 104-E: Residual band 1 volume discounting</v>
      </c>
    </row>
    <row r="119" spans="6:7" x14ac:dyDescent="0.25">
      <c r="F119" s="281" t="s">
        <v>117</v>
      </c>
      <c r="G119" s="48" t="str">
        <f ca="1">'Volume adjustments'!$C$390</f>
        <v>Section 104-F: Residual band 2 volume discounting</v>
      </c>
    </row>
    <row r="120" spans="6:7" x14ac:dyDescent="0.25">
      <c r="F120" s="281" t="s">
        <v>117</v>
      </c>
      <c r="G120" s="48" t="str">
        <f ca="1">'Volume adjustments'!$C$419</f>
        <v>Section 104-G: Residual band 3 volume discounting</v>
      </c>
    </row>
    <row r="121" spans="6:7" x14ac:dyDescent="0.25">
      <c r="F121" s="281" t="s">
        <v>117</v>
      </c>
      <c r="G121" s="48" t="str">
        <f ca="1">'Volume adjustments'!$C$448</f>
        <v>Section 104-H: Residual band 4 volume discounting</v>
      </c>
    </row>
    <row r="122" spans="6:7" x14ac:dyDescent="0.25">
      <c r="F122" s="281" t="s">
        <v>117</v>
      </c>
      <c r="G122" s="48" t="str">
        <f ca="1">'Volume adjustments'!$C$477</f>
        <v>Section 104-I: Discounted volumes by residual band</v>
      </c>
    </row>
    <row r="123" spans="6:7" x14ac:dyDescent="0.25">
      <c r="F123" s="281" t="s">
        <v>117</v>
      </c>
      <c r="G123" s="48" t="str">
        <f ca="1">'Volume adjustments'!$C$523</f>
        <v>Section 104-J: Volumes by residual band</v>
      </c>
    </row>
    <row r="124" spans="6:7" ht="15.75" thickBot="1" x14ac:dyDescent="0.3">
      <c r="F124" s="281" t="s">
        <v>117</v>
      </c>
      <c r="G124" s="48" t="str">
        <f ca="1">'Volume adjustments'!$C$657</f>
        <v>Section 104-K: Non-domestic aggregated (related MPAN) distribution across bands</v>
      </c>
    </row>
    <row r="125" spans="6:7" ht="15.75" thickTop="1" x14ac:dyDescent="0.25">
      <c r="F125" s="282" t="s">
        <v>71</v>
      </c>
      <c r="G125" s="48" t="str">
        <f ca="1">'Pseudo-load coefficients'!$C$18</f>
        <v>Section 105-A: Flags and hours in timebands</v>
      </c>
    </row>
    <row r="126" spans="6:7" x14ac:dyDescent="0.25">
      <c r="F126" s="281" t="s">
        <v>117</v>
      </c>
      <c r="G126" s="48" t="str">
        <f ca="1">'Pseudo-load coefficients'!$C$28</f>
        <v>Section 105-B: Average load by timeband</v>
      </c>
    </row>
    <row r="127" spans="6:7" x14ac:dyDescent="0.25">
      <c r="F127" s="281" t="s">
        <v>117</v>
      </c>
      <c r="G127" s="48" t="str">
        <f ca="1">'Pseudo-load coefficients'!$C$36</f>
        <v>Section 105-C: Aggregated groups for pseudo-load coefficients</v>
      </c>
    </row>
    <row r="128" spans="6:7" x14ac:dyDescent="0.25">
      <c r="F128" s="281" t="s">
        <v>117</v>
      </c>
      <c r="G128" s="48" t="str">
        <f ca="1">'Pseudo-load coefficients'!$C$52</f>
        <v>Section 105-D: Ratio of coincidence to load factor assuming units evenly spread within time bands, and peak falls in Red period</v>
      </c>
    </row>
    <row r="129" spans="6:7" x14ac:dyDescent="0.25">
      <c r="F129" s="281" t="s">
        <v>117</v>
      </c>
      <c r="G129" s="48" t="str">
        <f ca="1">'Pseudo-load coefficients'!$C$60</f>
        <v>Section 105-E: Load characteristics for all customers</v>
      </c>
    </row>
    <row r="130" spans="6:7" x14ac:dyDescent="0.25">
      <c r="F130" s="281" t="s">
        <v>117</v>
      </c>
      <c r="G130" s="48" t="str">
        <f ca="1">'Pseudo-load coefficients'!$C$65</f>
        <v>Section 105-F: Aggregated load characteristics for grouped customers</v>
      </c>
    </row>
    <row r="131" spans="6:7" x14ac:dyDescent="0.25">
      <c r="F131" s="281" t="s">
        <v>117</v>
      </c>
      <c r="G131" s="48" t="str">
        <f ca="1">'Pseudo-load coefficients'!$C$87</f>
        <v>Section 105-G: Calculation of correction factor</v>
      </c>
    </row>
    <row r="132" spans="6:7" x14ac:dyDescent="0.25">
      <c r="F132" s="281" t="s">
        <v>117</v>
      </c>
      <c r="G132" s="48" t="str">
        <f ca="1">'Pseudo-load coefficients'!$C$100</f>
        <v>Section 105-H: Peaking probabilities, by network level</v>
      </c>
    </row>
    <row r="133" spans="6:7" x14ac:dyDescent="0.25">
      <c r="F133" s="281" t="s">
        <v>117</v>
      </c>
      <c r="G133" s="48" t="str">
        <f ca="1">'Pseudo-load coefficients'!$C$174</f>
        <v>Section 105-I: Peaking probabilities, by network level and customer type</v>
      </c>
    </row>
    <row r="134" spans="6:7" x14ac:dyDescent="0.25">
      <c r="F134" s="281" t="s">
        <v>117</v>
      </c>
      <c r="G134" s="48" t="str">
        <f ca="1">'Pseudo-load coefficients'!$C$221</f>
        <v>Section 105-J: Ratio of coincidence factor to load factor, based on uniform distribution in timebands and peaking probabilities</v>
      </c>
    </row>
    <row r="135" spans="6:7" x14ac:dyDescent="0.25">
      <c r="F135" s="281" t="s">
        <v>117</v>
      </c>
      <c r="G135" s="48" t="str">
        <f ca="1">'Pseudo-load coefficients'!$C$265</f>
        <v>Section 105-K: Load coefficient</v>
      </c>
    </row>
    <row r="136" spans="6:7" ht="15.75" thickBot="1" x14ac:dyDescent="0.3">
      <c r="F136" s="281" t="s">
        <v>117</v>
      </c>
      <c r="G136" s="48" t="str">
        <f ca="1">'Pseudo-load coefficients'!$C$269</f>
        <v>Section 105-L: Pseudo load coefficients, by unit rate</v>
      </c>
    </row>
    <row r="137" spans="6:7" ht="15.75" thickTop="1" x14ac:dyDescent="0.25">
      <c r="F137" s="282" t="s">
        <v>73</v>
      </c>
      <c r="G137" s="48" t="str">
        <f ca="1">'System peak demand'!$C$18</f>
        <v>Section 106-A: Common inputs for chargeable load calculations</v>
      </c>
    </row>
    <row r="138" spans="6:7" x14ac:dyDescent="0.25">
      <c r="F138" s="281" t="s">
        <v>117</v>
      </c>
      <c r="G138" s="48" t="str">
        <f ca="1">'System peak demand'!$C$67</f>
        <v>Section 106-B: System peak load, by unit rate</v>
      </c>
    </row>
    <row r="139" spans="6:7" x14ac:dyDescent="0.25">
      <c r="F139" s="281" t="s">
        <v>117</v>
      </c>
      <c r="G139" s="48" t="str">
        <f ca="1">'System peak demand'!$C$138</f>
        <v>Section 106-C: System peak load, all unit rates</v>
      </c>
    </row>
    <row r="140" spans="6:7" x14ac:dyDescent="0.25">
      <c r="F140" s="281" t="s">
        <v>117</v>
      </c>
      <c r="G140" s="48" t="str">
        <f ca="1">'System peak demand'!$C$164</f>
        <v>Section 106-D: Unit rate contributions to chargeable peak load</v>
      </c>
    </row>
    <row r="141" spans="6:7" x14ac:dyDescent="0.25">
      <c r="F141" s="281" t="s">
        <v>117</v>
      </c>
      <c r="G141" s="48" t="str">
        <f ca="1">'System peak demand'!$C$184</f>
        <v>Section 106-E: Adjustment of import and exceeded capacity</v>
      </c>
    </row>
    <row r="142" spans="6:7" x14ac:dyDescent="0.25">
      <c r="F142" s="281" t="s">
        <v>117</v>
      </c>
      <c r="G142" s="48" t="str">
        <f ca="1">'System peak demand'!$C$194</f>
        <v>Section 106-F: Calculation of LV circuit diversity factor</v>
      </c>
    </row>
    <row r="143" spans="6:7" x14ac:dyDescent="0.25">
      <c r="F143" s="281" t="s">
        <v>117</v>
      </c>
      <c r="G143" s="48" t="str">
        <f ca="1">'System peak demand'!$C$236</f>
        <v>Section 106-G: Import/exceeded capacity contribution to system peak</v>
      </c>
    </row>
    <row r="144" spans="6:7" x14ac:dyDescent="0.25">
      <c r="F144" s="281" t="s">
        <v>117</v>
      </c>
      <c r="G144" s="48" t="str">
        <f ca="1">'System peak demand'!$C$249</f>
        <v>Section 106-H: Estimated capacity contribution to system peak</v>
      </c>
    </row>
    <row r="145" spans="6:7" ht="15.75" thickBot="1" x14ac:dyDescent="0.3">
      <c r="F145" s="281" t="s">
        <v>117</v>
      </c>
      <c r="G145" s="48" t="str">
        <f ca="1">'System peak demand'!$C$266</f>
        <v>Section 106-I: System peak based on chargeable load</v>
      </c>
    </row>
    <row r="146" spans="6:7" ht="16.5" thickTop="1" thickBot="1" x14ac:dyDescent="0.3">
      <c r="F146" s="282" t="s">
        <v>75</v>
      </c>
      <c r="G146" s="48" t="str">
        <f ca="1">'Service model assets'!$C$14</f>
        <v>Section 107-A: Service model notional asset values</v>
      </c>
    </row>
    <row r="147" spans="6:7" ht="15.75" thickTop="1" x14ac:dyDescent="0.25">
      <c r="F147" s="282" t="s">
        <v>77</v>
      </c>
      <c r="G147" s="48" t="str">
        <f ca="1">'Unit costs'!$C$19</f>
        <v>Section 108-A: Financial data</v>
      </c>
    </row>
    <row r="148" spans="6:7" x14ac:dyDescent="0.25">
      <c r="F148" s="281" t="s">
        <v>117</v>
      </c>
      <c r="G148" s="48" t="str">
        <f ca="1">'Unit costs'!$C$27</f>
        <v>Section 108-B: Diversity and loss adjustment factors</v>
      </c>
    </row>
    <row r="149" spans="6:7" x14ac:dyDescent="0.25">
      <c r="F149" s="281" t="s">
        <v>117</v>
      </c>
      <c r="G149" s="48" t="str">
        <f ca="1">'Unit costs'!$C$35</f>
        <v>Section 108-C: Maximum demand</v>
      </c>
    </row>
    <row r="150" spans="6:7" x14ac:dyDescent="0.25">
      <c r="F150" s="281" t="s">
        <v>117</v>
      </c>
      <c r="G150" s="48" t="str">
        <f ca="1">'Unit costs'!$C$42</f>
        <v>Section 108-D: Rerouting matrix</v>
      </c>
    </row>
    <row r="151" spans="6:7" x14ac:dyDescent="0.25">
      <c r="F151" s="281" t="s">
        <v>117</v>
      </c>
      <c r="G151" s="48" t="str">
        <f ca="1">'Unit costs'!$C$50</f>
        <v>Section 108-E: Annuitised cost of assets</v>
      </c>
    </row>
    <row r="152" spans="6:7" x14ac:dyDescent="0.25">
      <c r="F152" s="281" t="s">
        <v>117</v>
      </c>
      <c r="G152" s="48" t="str">
        <f ca="1">'Unit costs'!$C$62</f>
        <v>Section 108-F: System simultaneous peak load based on charegable units</v>
      </c>
    </row>
    <row r="153" spans="6:7" x14ac:dyDescent="0.25">
      <c r="F153" s="281" t="s">
        <v>117</v>
      </c>
      <c r="G153" s="48" t="str">
        <f ca="1">'Unit costs'!$C$69</f>
        <v>Section 108-G: Notional asset values, by network level</v>
      </c>
    </row>
    <row r="154" spans="6:7" x14ac:dyDescent="0.25">
      <c r="F154" s="281" t="s">
        <v>117</v>
      </c>
      <c r="G154" s="48" t="str">
        <f ca="1">'Unit costs'!$C$80</f>
        <v>Section 108-H: Other operating costs</v>
      </c>
    </row>
    <row r="155" spans="6:7" x14ac:dyDescent="0.25">
      <c r="F155" s="281" t="s">
        <v>117</v>
      </c>
      <c r="G155" s="48" t="str">
        <f ca="1">'Unit costs'!$C$92</f>
        <v>Section 108-I: Other operating costs by network level</v>
      </c>
    </row>
    <row r="156" spans="6:7" x14ac:dyDescent="0.25">
      <c r="F156" s="281" t="s">
        <v>117</v>
      </c>
      <c r="G156" s="48" t="str">
        <f ca="1">'Unit costs'!$C$104</f>
        <v>Section 108-J: Notional asset values by network level</v>
      </c>
    </row>
    <row r="157" spans="6:7" x14ac:dyDescent="0.25">
      <c r="F157" s="281" t="s">
        <v>117</v>
      </c>
      <c r="G157" s="48" t="str">
        <f ca="1">'Unit costs'!$C$110</f>
        <v>Section 108-K: Unit costs</v>
      </c>
    </row>
    <row r="158" spans="6:7" ht="15.75" thickBot="1" x14ac:dyDescent="0.3">
      <c r="F158" s="281" t="s">
        <v>117</v>
      </c>
      <c r="G158" s="48" t="str">
        <f ca="1">'Unit costs'!$C$117</f>
        <v>Section 108-L: Values used for allocating costs to service models</v>
      </c>
    </row>
    <row r="159" spans="6:7" ht="15.75" thickTop="1" x14ac:dyDescent="0.25">
      <c r="F159" s="282" t="s">
        <v>79</v>
      </c>
      <c r="G159" s="48" t="str">
        <f ca="1">'Initial unit rates'!$C$13</f>
        <v>Section 109-A: Inputs for yardstick and unit rate calculations</v>
      </c>
    </row>
    <row r="160" spans="6:7" x14ac:dyDescent="0.25">
      <c r="F160" s="281" t="s">
        <v>117</v>
      </c>
      <c r="G160" s="48" t="str">
        <f ca="1">'Initial unit rates'!$C$118</f>
        <v>Section 109-B: Yardstick charges</v>
      </c>
    </row>
    <row r="161" spans="6:7" x14ac:dyDescent="0.25">
      <c r="F161" s="281" t="s">
        <v>117</v>
      </c>
      <c r="G161" s="48" t="str">
        <f ca="1">'Initial unit rates'!$C$146</f>
        <v>Section 109-C: Unit rate 1</v>
      </c>
    </row>
    <row r="162" spans="6:7" x14ac:dyDescent="0.25">
      <c r="F162" s="281" t="s">
        <v>117</v>
      </c>
      <c r="G162" s="48" t="str">
        <f ca="1">'Initial unit rates'!$C$175</f>
        <v>Section 109-D: Unit rate 2</v>
      </c>
    </row>
    <row r="163" spans="6:7" ht="15.75" thickBot="1" x14ac:dyDescent="0.3">
      <c r="F163" s="281" t="s">
        <v>117</v>
      </c>
      <c r="G163" s="48" t="str">
        <f ca="1">'Initial unit rates'!$C$204</f>
        <v>Section 109-E: Unit rate 3</v>
      </c>
    </row>
    <row r="164" spans="6:7" ht="15.75" thickTop="1" x14ac:dyDescent="0.25">
      <c r="F164" s="282" t="s">
        <v>81</v>
      </c>
      <c r="G164" s="48" t="str">
        <f ca="1">'Service model charges'!$C$17</f>
        <v>Section 110-A: Inputs to service model charge calculation</v>
      </c>
    </row>
    <row r="165" spans="6:7" x14ac:dyDescent="0.25">
      <c r="F165" s="281" t="s">
        <v>117</v>
      </c>
      <c r="G165" s="48" t="str">
        <f ca="1">'Service model charges'!$C$33</f>
        <v>Section 110-B: Calculation of other operating expenditure per £ of notional asset value</v>
      </c>
    </row>
    <row r="166" spans="6:7" ht="15.75" thickBot="1" x14ac:dyDescent="0.3">
      <c r="F166" s="281" t="s">
        <v>117</v>
      </c>
      <c r="G166" s="48" t="str">
        <f ca="1">'Service model charges'!$C$37</f>
        <v>Section 110-C: Calculation of service model charges</v>
      </c>
    </row>
    <row r="167" spans="6:7" ht="15.75" thickTop="1" x14ac:dyDescent="0.25">
      <c r="F167" s="282" t="s">
        <v>83</v>
      </c>
      <c r="G167" s="48" t="str">
        <f ca="1">'Unit rate charges'!$C$19</f>
        <v>Section 111-A: Initial unit rate 1</v>
      </c>
    </row>
    <row r="168" spans="6:7" x14ac:dyDescent="0.25">
      <c r="F168" s="281" t="s">
        <v>117</v>
      </c>
      <c r="G168" s="48" t="str">
        <f ca="1">'Unit rate charges'!$C$49</f>
        <v>Section 111-B: Initial unit rate 2</v>
      </c>
    </row>
    <row r="169" spans="6:7" x14ac:dyDescent="0.25">
      <c r="F169" s="281" t="s">
        <v>117</v>
      </c>
      <c r="G169" s="48" t="str">
        <f ca="1">'Unit rate charges'!$C$79</f>
        <v>Section 111-C: Initial unit rate 3</v>
      </c>
    </row>
    <row r="170" spans="6:7" x14ac:dyDescent="0.25">
      <c r="F170" s="281" t="s">
        <v>117</v>
      </c>
      <c r="G170" s="48" t="str">
        <f ca="1">'Unit rate charges'!$C$109</f>
        <v>Section 111-D: Standing charge factors</v>
      </c>
    </row>
    <row r="171" spans="6:7" x14ac:dyDescent="0.25">
      <c r="F171" s="281" t="s">
        <v>117</v>
      </c>
      <c r="G171" s="48" t="str">
        <f ca="1">'Unit rate charges'!$C$124</f>
        <v>Section 111-E: Contributions to unit rate 1 p/kWh by network level (taking account of standing charges)</v>
      </c>
    </row>
    <row r="172" spans="6:7" x14ac:dyDescent="0.25">
      <c r="F172" s="281" t="s">
        <v>117</v>
      </c>
      <c r="G172" s="48" t="str">
        <f ca="1">'Unit rate charges'!$C$154</f>
        <v>Section 111-F: Contributions to unit rate 2 p/kWh by network level (taking account of standing charges)</v>
      </c>
    </row>
    <row r="173" spans="6:7" x14ac:dyDescent="0.25">
      <c r="F173" s="281" t="s">
        <v>117</v>
      </c>
      <c r="G173" s="48" t="str">
        <f ca="1">'Unit rate charges'!$C$184</f>
        <v>Section 111-G: Contributions to unit rate 3 p/kWh by network level (taking account of standing charges)</v>
      </c>
    </row>
    <row r="174" spans="6:7" ht="15.75" thickBot="1" x14ac:dyDescent="0.3">
      <c r="F174" s="281" t="s">
        <v>117</v>
      </c>
      <c r="G174" s="48" t="str">
        <f ca="1">'Unit rate charges'!$C$214</f>
        <v>Section 111-H: Unit rates, post application of standing charges</v>
      </c>
    </row>
    <row r="175" spans="6:7" ht="15.75" thickTop="1" x14ac:dyDescent="0.25">
      <c r="F175" s="282" t="s">
        <v>87</v>
      </c>
      <c r="G175" s="48" t="str">
        <f ca="1">'Capacity charges'!$C$19</f>
        <v>Section 112-A: Inputs to capacity charge calculations</v>
      </c>
    </row>
    <row r="176" spans="6:7" x14ac:dyDescent="0.25">
      <c r="F176" s="281" t="s">
        <v>117</v>
      </c>
      <c r="G176" s="48" t="str">
        <f ca="1">'Capacity charges'!$C$129</f>
        <v>Section 112-B: Capacity-based charge elements (to be split between capacity &amp; fixed charges)</v>
      </c>
    </row>
    <row r="177" spans="6:7" x14ac:dyDescent="0.25">
      <c r="F177" s="281" t="s">
        <v>117</v>
      </c>
      <c r="G177" s="48" t="str">
        <f ca="1">'Capacity charges'!$C$159</f>
        <v>Section 112-C: Exceeded capacity-based charge elements</v>
      </c>
    </row>
    <row r="178" spans="6:7" x14ac:dyDescent="0.25">
      <c r="F178" s="281" t="s">
        <v>117</v>
      </c>
      <c r="G178" s="48" t="str">
        <f ca="1">'Capacity charges'!$C$189</f>
        <v>Section 112-D: Capacity charges for eligible customers, by network level</v>
      </c>
    </row>
    <row r="179" spans="6:7" x14ac:dyDescent="0.25">
      <c r="F179" s="281" t="s">
        <v>117</v>
      </c>
      <c r="G179" s="48" t="str">
        <f ca="1">'Capacity charges'!$C$219</f>
        <v>Section 112-E: Exceeded capacity charges for eligible customers, by network level</v>
      </c>
    </row>
    <row r="180" spans="6:7" x14ac:dyDescent="0.25">
      <c r="F180" s="281" t="s">
        <v>117</v>
      </c>
      <c r="G180" s="48" t="str">
        <f ca="1">'Capacity charges'!$C$254</f>
        <v>Section 112-F: Capacity and exceeded capacity charges</v>
      </c>
    </row>
    <row r="181" spans="6:7" ht="15.75" thickBot="1" x14ac:dyDescent="0.3">
      <c r="F181" s="281" t="s">
        <v>117</v>
      </c>
      <c r="G181" s="48" t="str">
        <f ca="1">'Capacity charges'!$C$259</f>
        <v>Section 112-G: Capacity elements allocated to fixed charges</v>
      </c>
    </row>
    <row r="182" spans="6:7" ht="15.75" thickTop="1" x14ac:dyDescent="0.25">
      <c r="F182" s="282" t="s">
        <v>85</v>
      </c>
      <c r="G182" s="48" t="str">
        <f ca="1">'Reactive power charges'!$C$17</f>
        <v>Section 113-A: Inputs to reactive power charge calculations</v>
      </c>
    </row>
    <row r="183" spans="6:7" x14ac:dyDescent="0.25">
      <c r="F183" s="281" t="s">
        <v>117</v>
      </c>
      <c r="G183" s="48" t="str">
        <f ca="1">'Reactive power charges'!$C$120</f>
        <v>Section 113-B: Yardstick charge (demand)</v>
      </c>
    </row>
    <row r="184" spans="6:7" x14ac:dyDescent="0.25">
      <c r="F184" s="281" t="s">
        <v>117</v>
      </c>
      <c r="G184" s="48" t="str">
        <f ca="1">'Reactive power charges'!$C$155</f>
        <v>Section 113-C: Yardstick charge used for generation</v>
      </c>
    </row>
    <row r="185" spans="6:7" x14ac:dyDescent="0.25">
      <c r="F185" s="281" t="s">
        <v>117</v>
      </c>
      <c r="G185" s="48" t="str">
        <f ca="1">'Reactive power charges'!$C$190</f>
        <v>Section 113-D: Reactive power charges, all customer categories</v>
      </c>
    </row>
    <row r="186" spans="6:7" ht="15.75" thickBot="1" x14ac:dyDescent="0.3">
      <c r="F186" s="281" t="s">
        <v>117</v>
      </c>
      <c r="G186" s="48" t="str">
        <f ca="1">'Reactive power charges'!$C$220</f>
        <v>Section 113-E: Reactive power charges for applicable customers</v>
      </c>
    </row>
    <row r="187" spans="6:7" ht="15.75" thickTop="1" x14ac:dyDescent="0.25">
      <c r="F187" s="282" t="s">
        <v>89</v>
      </c>
      <c r="G187" s="48" t="str">
        <f ca="1">'Fixed charges'!$C$16</f>
        <v>Section 114-A: Volumes (discounted MPANs &amp; maximum load)</v>
      </c>
    </row>
    <row r="188" spans="6:7" x14ac:dyDescent="0.25">
      <c r="F188" s="281" t="s">
        <v>117</v>
      </c>
      <c r="G188" s="48" t="str">
        <f ca="1">'Fixed charges'!$C$22</f>
        <v>Section 114-B: Capacity elements allocated to fixed charges</v>
      </c>
    </row>
    <row r="189" spans="6:7" x14ac:dyDescent="0.25">
      <c r="F189" s="281" t="s">
        <v>117</v>
      </c>
      <c r="G189" s="48" t="str">
        <f ca="1">'Fixed charges'!$C$52</f>
        <v>Section 114-C: Service model costs allocated to fixed charges</v>
      </c>
    </row>
    <row r="190" spans="6:7" x14ac:dyDescent="0.25">
      <c r="F190" s="281" t="s">
        <v>117</v>
      </c>
      <c r="G190" s="48" t="str">
        <f ca="1">'Fixed charges'!$C$58</f>
        <v>Section 114-D: Flags</v>
      </c>
    </row>
    <row r="191" spans="6:7" x14ac:dyDescent="0.25">
      <c r="F191" s="281" t="s">
        <v>117</v>
      </c>
      <c r="G191" s="48" t="str">
        <f ca="1">'Fixed charges'!$C$67</f>
        <v>Section 114-E: Revenue allocated to fixed charges</v>
      </c>
    </row>
    <row r="192" spans="6:7" x14ac:dyDescent="0.25">
      <c r="F192" s="281" t="s">
        <v>117</v>
      </c>
      <c r="G192" s="48" t="str">
        <f ca="1">'Fixed charges'!$C$97</f>
        <v>Section 114-F: Revenue allocated to fixed charges, by aggregation group</v>
      </c>
    </row>
    <row r="193" spans="6:7" x14ac:dyDescent="0.25">
      <c r="F193" s="281" t="s">
        <v>117</v>
      </c>
      <c r="G193" s="48" t="str">
        <f ca="1">'Fixed charges'!$C$127</f>
        <v>Section 114-G: Fixed charges, by network level</v>
      </c>
    </row>
    <row r="194" spans="6:7" ht="15.75" thickBot="1" x14ac:dyDescent="0.3">
      <c r="F194" s="281" t="s">
        <v>117</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117</v>
      </c>
      <c r="G196" s="48" t="str">
        <f ca="1">'SoLR &amp; bad debt adders'!$C$35</f>
        <v>Section 115-B: Calculation of fixed tariff adjustments</v>
      </c>
    </row>
    <row r="197" spans="6:7" ht="15.75" thickBot="1" x14ac:dyDescent="0.3">
      <c r="F197" s="281" t="s">
        <v>117</v>
      </c>
      <c r="G197" s="48" t="str">
        <f ca="1">'SoLR &amp; bad debt adders'!$C$53</f>
        <v>Section 115-C: Calculation of fixed charge adder revenue</v>
      </c>
    </row>
    <row r="198" spans="6:7" ht="15.75" thickTop="1" x14ac:dyDescent="0.25">
      <c r="F198" s="282" t="s">
        <v>91</v>
      </c>
      <c r="G198" s="48" t="str">
        <f ca="1">'Revenue matching'!$C$15</f>
        <v>Section 116-A: Inputs to revenue matching</v>
      </c>
    </row>
    <row r="199" spans="6:7" x14ac:dyDescent="0.25">
      <c r="F199" s="281" t="s">
        <v>117</v>
      </c>
      <c r="G199" s="48" t="str">
        <f ca="1">'Revenue matching'!$C$70</f>
        <v>Section 116-B: Net revenue before matching</v>
      </c>
    </row>
    <row r="200" spans="6:7" x14ac:dyDescent="0.25">
      <c r="F200" s="281" t="s">
        <v>117</v>
      </c>
      <c r="G200" s="48" t="str">
        <f ca="1">'Revenue matching'!$C$89</f>
        <v>Section 116-C: Grouping of residual bands where a band has insufficient customers</v>
      </c>
    </row>
    <row r="201" spans="6:7" x14ac:dyDescent="0.25">
      <c r="F201" s="281" t="s">
        <v>117</v>
      </c>
      <c r="G201" s="48" t="str">
        <f ca="1">'Revenue matching'!$C$152</f>
        <v>Section 116-D: Calculating MPANs for matching</v>
      </c>
    </row>
    <row r="202" spans="6:7" x14ac:dyDescent="0.25">
      <c r="F202" s="281" t="s">
        <v>117</v>
      </c>
      <c r="G202" s="48" t="str">
        <f ca="1">'Revenue matching'!$C$160</f>
        <v>Section 116-E: Calculating unit volumes for matching</v>
      </c>
    </row>
    <row r="203" spans="6:7" x14ac:dyDescent="0.25">
      <c r="F203" s="281" t="s">
        <v>117</v>
      </c>
      <c r="G203" s="48" t="str">
        <f ca="1">'Revenue matching'!$C$177</f>
        <v>Section 116-F: Allocating revenue to tariffs</v>
      </c>
    </row>
    <row r="204" spans="6:7" x14ac:dyDescent="0.25">
      <c r="F204" s="281" t="s">
        <v>117</v>
      </c>
      <c r="G204" s="48" t="str">
        <f ca="1">'Revenue matching'!$C$193</f>
        <v>Section 116-G: Calculating the residual fixed charge</v>
      </c>
    </row>
    <row r="205" spans="6:7" x14ac:dyDescent="0.25">
      <c r="F205" s="281" t="s">
        <v>117</v>
      </c>
      <c r="G205" s="48" t="str">
        <f ca="1">'Revenue matching'!$C$201</f>
        <v>Section 116-H: Calculating the initial residual unit rate</v>
      </c>
    </row>
    <row r="206" spans="6:7" x14ac:dyDescent="0.25">
      <c r="F206" s="281" t="s">
        <v>117</v>
      </c>
      <c r="G206" s="48" t="str">
        <f ca="1">'Revenue matching'!$C$214</f>
        <v>Section 116-I: Floor on negative residual fixed charges</v>
      </c>
    </row>
    <row r="207" spans="6:7" x14ac:dyDescent="0.25">
      <c r="F207" s="281" t="s">
        <v>117</v>
      </c>
      <c r="G207" s="48" t="str">
        <f ca="1">'Revenue matching'!$C$233</f>
        <v>Section 116-J: Ranking unit rate volumes and tariffs</v>
      </c>
    </row>
    <row r="208" spans="6:7" x14ac:dyDescent="0.25">
      <c r="F208" s="281" t="s">
        <v>117</v>
      </c>
      <c r="G208" s="48" t="str">
        <f ca="1">'Revenue matching'!$C$287</f>
        <v>Section 116-K: Revenue matching for three timebands</v>
      </c>
    </row>
    <row r="209" spans="6:7" x14ac:dyDescent="0.25">
      <c r="F209" s="281" t="s">
        <v>117</v>
      </c>
      <c r="G209" s="48" t="str">
        <f ca="1">'Revenue matching'!$C$314</f>
        <v>Section 116-L: Revenue matching for two timebands</v>
      </c>
    </row>
    <row r="210" spans="6:7" x14ac:dyDescent="0.25">
      <c r="F210" s="281" t="s">
        <v>117</v>
      </c>
      <c r="G210" s="48" t="str">
        <f ca="1">'Revenue matching'!$C$346</f>
        <v>Section 116-M: Revenue matching for one timeband</v>
      </c>
    </row>
    <row r="211" spans="6:7" x14ac:dyDescent="0.25">
      <c r="F211" s="281" t="s">
        <v>117</v>
      </c>
      <c r="G211" s="48" t="str">
        <f ca="1">'Revenue matching'!$C$378</f>
        <v>Section 116-N: Revenue matching adders by timeband</v>
      </c>
    </row>
    <row r="212" spans="6:7" ht="15.75" thickBot="1" x14ac:dyDescent="0.3">
      <c r="F212" s="281" t="s">
        <v>117</v>
      </c>
      <c r="G212" s="48" t="str">
        <f ca="1">'Revenue matching'!$C$410</f>
        <v>Section 116-O: Final adders</v>
      </c>
    </row>
    <row r="213" spans="6:7" ht="15.75" thickTop="1" x14ac:dyDescent="0.25">
      <c r="F213" s="282" t="s">
        <v>93</v>
      </c>
      <c r="G213" s="48" t="str">
        <f ca="1">Rounding!$C$16</f>
        <v>Section 117-A: Pre-match, pre-rounding tariff forecast</v>
      </c>
    </row>
    <row r="214" spans="6:7" x14ac:dyDescent="0.25">
      <c r="F214" s="281" t="s">
        <v>117</v>
      </c>
      <c r="G214" s="48" t="str">
        <f ca="1">Rounding!$C$28</f>
        <v>Section 117-B: Adders for revenue matching</v>
      </c>
    </row>
    <row r="215" spans="6:7" x14ac:dyDescent="0.25">
      <c r="F215" s="281" t="s">
        <v>117</v>
      </c>
      <c r="G215" s="48" t="str">
        <f ca="1">Rounding!$C$40</f>
        <v>Section 117-C: Adder to fixed charge for allocated pass-through costs</v>
      </c>
    </row>
    <row r="216" spans="6:7" x14ac:dyDescent="0.25">
      <c r="F216" s="281" t="s">
        <v>117</v>
      </c>
      <c r="G216" s="48" t="str">
        <f ca="1">Rounding!$C$52</f>
        <v>Section 117-D: LDNO discounts</v>
      </c>
    </row>
    <row r="217" spans="6:7" x14ac:dyDescent="0.25">
      <c r="F217" s="281" t="s">
        <v>117</v>
      </c>
      <c r="G217" s="48" t="str">
        <f ca="1">Rounding!$C$92</f>
        <v>Section 117-E: Decimal places for rounding</v>
      </c>
    </row>
    <row r="218" spans="6:7" x14ac:dyDescent="0.25">
      <c r="F218" s="281" t="s">
        <v>117</v>
      </c>
      <c r="G218" s="48" t="str">
        <f ca="1">Rounding!$C$107</f>
        <v>Section 117-F: Tariff forecast, post-revenue matching</v>
      </c>
    </row>
    <row r="219" spans="6:7" x14ac:dyDescent="0.25">
      <c r="F219" s="281" t="s">
        <v>117</v>
      </c>
      <c r="G219" s="48" t="str">
        <f ca="1">Rounding!$C$118</f>
        <v>Section 117-G: Tariff forecast, post-adders &amp; discounting</v>
      </c>
    </row>
    <row r="220" spans="6:7" ht="15.75" thickBot="1" x14ac:dyDescent="0.3">
      <c r="F220" s="281" t="s">
        <v>117</v>
      </c>
      <c r="G220" s="48" t="str">
        <f ca="1">Rounding!$C$147</f>
        <v>Section 117-H: Tariff forecast, post-rounding</v>
      </c>
    </row>
    <row r="221" spans="6:7" ht="15.75" thickTop="1" x14ac:dyDescent="0.25">
      <c r="F221" s="282" t="s">
        <v>95</v>
      </c>
      <c r="G221" s="48" t="str">
        <f ca="1">'Net revenue summary'!$C$13</f>
        <v>Section 118-A: Volume forecasts</v>
      </c>
    </row>
    <row r="222" spans="6:7" x14ac:dyDescent="0.25">
      <c r="F222" s="281" t="s">
        <v>117</v>
      </c>
      <c r="G222" s="48" t="str">
        <f ca="1">'Net revenue summary'!$C$52</f>
        <v>Section 118-B: Tariff forecast</v>
      </c>
    </row>
    <row r="223" spans="6:7" x14ac:dyDescent="0.25">
      <c r="F223" s="281" t="s">
        <v>117</v>
      </c>
      <c r="G223" s="48" t="str">
        <f ca="1">'Net revenue summary'!$C$81</f>
        <v>Section 118-C: Net revenue components</v>
      </c>
    </row>
    <row r="224" spans="6:7" x14ac:dyDescent="0.25">
      <c r="F224" s="281" t="s">
        <v>117</v>
      </c>
      <c r="G224" s="48" t="str">
        <f ca="1">'Net revenue summary'!$C$92</f>
        <v>Section 118-D: Net revenue by tariff</v>
      </c>
    </row>
    <row r="225" spans="2:7" x14ac:dyDescent="0.25">
      <c r="F225" s="281" t="s">
        <v>117</v>
      </c>
      <c r="G225" s="48" t="str">
        <f ca="1">'Net revenue summary'!$C$124</f>
        <v>Section 118-E: Net revenue summary (for information only)</v>
      </c>
    </row>
    <row r="226" spans="2:7" x14ac:dyDescent="0.25">
      <c r="F226" s="281" t="s">
        <v>117</v>
      </c>
      <c r="G226" s="48" t="str">
        <f ca="1">'Net revenue summary'!$C$138</f>
        <v>Section 118-F: Typical bills</v>
      </c>
    </row>
    <row r="227" spans="2:7" x14ac:dyDescent="0.25">
      <c r="F227" s="281" t="s">
        <v>117</v>
      </c>
      <c r="G227" s="48" t="str">
        <f ca="1">'Net revenue summary'!$C$144</f>
        <v>Section 118-G: Average bill per kWh</v>
      </c>
    </row>
    <row r="228" spans="2:7" x14ac:dyDescent="0.25">
      <c r="F228" s="281" t="s">
        <v>117</v>
      </c>
      <c r="G228" s="48" t="str">
        <f ca="1">'Net revenue summary'!$C$152</f>
        <v>Section 118-H: Previous year all the way tariff forecast</v>
      </c>
    </row>
    <row r="229" spans="2:7" x14ac:dyDescent="0.25">
      <c r="F229" s="281" t="s">
        <v>117</v>
      </c>
      <c r="G229" s="48" t="str">
        <f ca="1">'Net revenue summary'!$C$163</f>
        <v>Section 118-I: Previous year net revenue from all the way tariff forecast</v>
      </c>
    </row>
    <row r="230" spans="2:7" x14ac:dyDescent="0.25">
      <c r="F230" s="281" t="s">
        <v>117</v>
      </c>
      <c r="G230" s="48" t="str">
        <f ca="1">'Net revenue summary'!$C$178</f>
        <v>Section 118-J: LDNO typical bills using all-the-way volumes</v>
      </c>
    </row>
    <row r="231" spans="2:7" ht="15.75" thickBot="1" x14ac:dyDescent="0.3">
      <c r="F231" s="281" t="s">
        <v>117</v>
      </c>
      <c r="G231" s="48" t="str">
        <f ca="1">'Net revenue summary'!$C$202</f>
        <v>Section 118-K: LDNO margins</v>
      </c>
    </row>
    <row r="232" spans="2:7" ht="16.5" thickTop="1" thickBot="1" x14ac:dyDescent="0.3">
      <c r="F232" s="284" t="s">
        <v>97</v>
      </c>
      <c r="G232" s="48" t="str">
        <f>'Tariff summary'!$C$13</f>
        <v>Output 101-A: Tariffs for 2024/25</v>
      </c>
    </row>
    <row r="233" spans="2:7" ht="15.75" thickTop="1" x14ac:dyDescent="0.25">
      <c r="F233" s="284" t="s">
        <v>99</v>
      </c>
      <c r="G233" s="48" t="str">
        <f ca="1">'Output to other models'!$C$14</f>
        <v>Output 102-A: CDCM notional EHV asset values</v>
      </c>
    </row>
    <row r="234" spans="2:7" x14ac:dyDescent="0.25">
      <c r="F234" s="449"/>
      <c r="G234" s="48" t="str">
        <f ca="1">'Output to other models'!$C$25</f>
        <v>Output 102-B: CDCM smart meter communication licence costs</v>
      </c>
    </row>
    <row r="235" spans="2:7" x14ac:dyDescent="0.25">
      <c r="F235" s="283" t="s">
        <v>117</v>
      </c>
      <c r="G235" s="48" t="str">
        <f ca="1">'Output to other models'!$C$33</f>
        <v>Output 102-C: CDCM end user tariff forecast</v>
      </c>
    </row>
    <row r="236" spans="2:7" x14ac:dyDescent="0.25">
      <c r="F236" s="283" t="s">
        <v>117</v>
      </c>
      <c r="G236" s="48" t="str">
        <f ca="1">'Output to other models'!$C$51</f>
        <v>Output 102-D: CDCM non-tariff outputs to EDCM</v>
      </c>
    </row>
    <row r="237" spans="2:7" x14ac:dyDescent="0.25">
      <c r="F237" s="283" t="s">
        <v>117</v>
      </c>
      <c r="G237" s="48" t="str">
        <f ca="1">'Output to other models'!$C$63</f>
        <v>Output 102-E: Outputs for DNOs' internal use</v>
      </c>
    </row>
    <row r="238" spans="2:7" x14ac:dyDescent="0.25">
      <c r="F238" s="283" t="s">
        <v>117</v>
      </c>
      <c r="G238" s="48" t="str">
        <f ca="1">'Output to other models'!$C$73</f>
        <v>Output 102-F: Outputs for IDNOs' internal use</v>
      </c>
    </row>
    <row r="240" spans="2:7" x14ac:dyDescent="0.25">
      <c r="B240" s="25" t="s">
        <v>107</v>
      </c>
      <c r="C240" s="25"/>
      <c r="D240" s="25"/>
      <c r="E240" s="25"/>
      <c r="F240" s="25"/>
      <c r="G240" s="25"/>
    </row>
  </sheetData>
  <sheetProtection sheet="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National Grid Electricity Distribution (South West) plc - [enter data version name]</v>
      </c>
    </row>
    <row r="3" spans="1:8" s="5" customFormat="1" x14ac:dyDescent="0.25">
      <c r="A3" s="5" t="str">
        <f>Cover!D2&amp;" - "&amp;Cover!D8&amp;" v"&amp;Cover!D10&amp;" - "&amp;Cover!D19</f>
        <v>CDCM charging model - Release for charge setting v9 - 2024/25</v>
      </c>
    </row>
    <row r="5" spans="1:8" x14ac:dyDescent="0.25">
      <c r="B5" s="31" t="s">
        <v>122</v>
      </c>
      <c r="C5" s="31"/>
      <c r="D5" s="31"/>
      <c r="E5" s="31"/>
      <c r="F5" s="32"/>
      <c r="G5" s="32"/>
      <c r="H5" s="32"/>
    </row>
    <row r="6" spans="1:8" x14ac:dyDescent="0.25">
      <c r="B6" s="30"/>
      <c r="C6" s="30"/>
      <c r="D6" s="30"/>
      <c r="E6" s="30"/>
      <c r="F6" s="33"/>
      <c r="G6" s="30"/>
      <c r="H6" s="30"/>
    </row>
    <row r="7" spans="1:8" x14ac:dyDescent="0.25">
      <c r="F7" s="48" t="s">
        <v>123</v>
      </c>
      <c r="G7" t="s">
        <v>124</v>
      </c>
      <c r="H7" t="s">
        <v>115</v>
      </c>
    </row>
    <row r="8" spans="1:8" x14ac:dyDescent="0.25">
      <c r="F8" s="48" t="s">
        <v>125</v>
      </c>
      <c r="G8" t="s">
        <v>126</v>
      </c>
      <c r="H8" t="s">
        <v>54</v>
      </c>
    </row>
    <row r="9" spans="1:8" x14ac:dyDescent="0.25">
      <c r="F9" s="48" t="s">
        <v>127</v>
      </c>
      <c r="G9" t="s">
        <v>128</v>
      </c>
      <c r="H9" t="s">
        <v>61</v>
      </c>
    </row>
    <row r="10" spans="1:8" x14ac:dyDescent="0.25">
      <c r="F10" s="48" t="s">
        <v>129</v>
      </c>
      <c r="G10" t="s">
        <v>130</v>
      </c>
      <c r="H10" t="s">
        <v>115</v>
      </c>
    </row>
    <row r="11" spans="1:8" x14ac:dyDescent="0.25">
      <c r="F11" s="48" t="s">
        <v>131</v>
      </c>
      <c r="G11" t="s">
        <v>132</v>
      </c>
      <c r="H11" t="s">
        <v>54</v>
      </c>
    </row>
    <row r="12" spans="1:8" x14ac:dyDescent="0.25">
      <c r="F12" s="48" t="s">
        <v>133</v>
      </c>
      <c r="G12" t="s">
        <v>134</v>
      </c>
      <c r="H12" t="s">
        <v>61</v>
      </c>
    </row>
    <row r="13" spans="1:8" x14ac:dyDescent="0.25">
      <c r="F13" s="48" t="s">
        <v>135</v>
      </c>
      <c r="G13" t="s">
        <v>136</v>
      </c>
      <c r="H13" t="s">
        <v>54</v>
      </c>
    </row>
    <row r="14" spans="1:8" x14ac:dyDescent="0.25">
      <c r="F14" s="48" t="s">
        <v>137</v>
      </c>
      <c r="G14" t="s">
        <v>138</v>
      </c>
      <c r="H14" t="s">
        <v>54</v>
      </c>
    </row>
    <row r="15" spans="1:8" x14ac:dyDescent="0.25">
      <c r="F15" s="48" t="s">
        <v>139</v>
      </c>
      <c r="G15" t="s">
        <v>140</v>
      </c>
      <c r="H15" t="s">
        <v>54</v>
      </c>
    </row>
    <row r="16" spans="1:8" x14ac:dyDescent="0.25">
      <c r="F16" s="48" t="s">
        <v>141</v>
      </c>
      <c r="G16" t="s">
        <v>142</v>
      </c>
      <c r="H16" t="s">
        <v>54</v>
      </c>
    </row>
    <row r="17" spans="2:8" x14ac:dyDescent="0.25">
      <c r="F17" s="48"/>
    </row>
    <row r="18" spans="2:8" x14ac:dyDescent="0.25">
      <c r="B18" s="31" t="s">
        <v>107</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147</v>
      </c>
    </row>
    <row r="11" spans="1:43" x14ac:dyDescent="0.25">
      <c r="B11" s="25" t="s">
        <v>54</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132</v>
      </c>
      <c r="G15" t="s">
        <v>148</v>
      </c>
      <c r="H15" s="232">
        <v>24</v>
      </c>
    </row>
    <row r="16" spans="1:43" x14ac:dyDescent="0.25">
      <c r="E16" s="23" t="s">
        <v>149</v>
      </c>
      <c r="G16" t="s">
        <v>150</v>
      </c>
      <c r="H16" s="232">
        <v>10</v>
      </c>
    </row>
    <row r="17" spans="3:43" x14ac:dyDescent="0.25">
      <c r="E17" s="23" t="s">
        <v>151</v>
      </c>
      <c r="G17" t="s">
        <v>150</v>
      </c>
      <c r="H17" s="232">
        <v>100</v>
      </c>
    </row>
    <row r="18" spans="3:43" x14ac:dyDescent="0.25">
      <c r="E18" s="23" t="s">
        <v>152</v>
      </c>
      <c r="G18" t="s">
        <v>150</v>
      </c>
      <c r="H18" s="232">
        <v>1000</v>
      </c>
    </row>
    <row r="20" spans="3:43" x14ac:dyDescent="0.25">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153</v>
      </c>
    </row>
    <row r="23" spans="3:43" x14ac:dyDescent="0.25">
      <c r="E23" s="27"/>
    </row>
    <row r="24" spans="3:43" x14ac:dyDescent="0.25">
      <c r="E24" s="27" t="s">
        <v>154</v>
      </c>
      <c r="F24" s="24"/>
      <c r="I24" t="s">
        <v>155</v>
      </c>
      <c r="AQ24" t="s">
        <v>156</v>
      </c>
    </row>
    <row r="25" spans="3:43" x14ac:dyDescent="0.25">
      <c r="F25" s="19" t="s">
        <v>157</v>
      </c>
      <c r="G25" s="19" t="s">
        <v>150</v>
      </c>
      <c r="H25" s="235">
        <v>3</v>
      </c>
    </row>
    <row r="26" spans="3:43" x14ac:dyDescent="0.25">
      <c r="F26" t="s">
        <v>158</v>
      </c>
      <c r="G26" t="s">
        <v>150</v>
      </c>
      <c r="H26" s="232">
        <v>3</v>
      </c>
    </row>
    <row r="27" spans="3:43" x14ac:dyDescent="0.25">
      <c r="F27" t="s">
        <v>159</v>
      </c>
      <c r="G27" t="s">
        <v>150</v>
      </c>
      <c r="H27" s="232">
        <v>3</v>
      </c>
    </row>
    <row r="28" spans="3:43" x14ac:dyDescent="0.25">
      <c r="F28" t="s">
        <v>160</v>
      </c>
      <c r="G28" t="s">
        <v>150</v>
      </c>
      <c r="H28" s="232">
        <v>2</v>
      </c>
    </row>
    <row r="29" spans="3:43" x14ac:dyDescent="0.25">
      <c r="F29" t="s">
        <v>161</v>
      </c>
      <c r="G29" t="s">
        <v>150</v>
      </c>
      <c r="H29" s="232">
        <v>2</v>
      </c>
    </row>
    <row r="30" spans="3:43" x14ac:dyDescent="0.25">
      <c r="F30" t="s">
        <v>162</v>
      </c>
      <c r="G30" t="s">
        <v>150</v>
      </c>
      <c r="H30" s="232">
        <v>2</v>
      </c>
    </row>
    <row r="31" spans="3:43" x14ac:dyDescent="0.25">
      <c r="F31" s="28" t="s">
        <v>163</v>
      </c>
      <c r="G31" s="28" t="s">
        <v>150</v>
      </c>
      <c r="H31" s="236">
        <v>3</v>
      </c>
    </row>
    <row r="33" spans="3:43" x14ac:dyDescent="0.25">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164</v>
      </c>
      <c r="G35" t="s">
        <v>165</v>
      </c>
      <c r="H35" s="232">
        <v>40</v>
      </c>
      <c r="I35" t="s">
        <v>155</v>
      </c>
      <c r="AQ35" s="3" t="s">
        <v>166</v>
      </c>
    </row>
    <row r="37" spans="3:43" x14ac:dyDescent="0.25">
      <c r="E37" s="23" t="s">
        <v>167</v>
      </c>
      <c r="G37" t="s">
        <v>168</v>
      </c>
      <c r="H37" s="232">
        <v>0.95</v>
      </c>
      <c r="I37" t="s">
        <v>155</v>
      </c>
      <c r="AQ37" t="s">
        <v>169</v>
      </c>
    </row>
    <row r="39" spans="3:43" x14ac:dyDescent="0.25">
      <c r="E39" s="23" t="s">
        <v>170</v>
      </c>
      <c r="G39" t="s">
        <v>168</v>
      </c>
      <c r="H39" s="237">
        <v>0.6</v>
      </c>
      <c r="I39" t="s">
        <v>155</v>
      </c>
      <c r="AQ39" s="3" t="s">
        <v>171</v>
      </c>
    </row>
    <row r="41" spans="3:43" x14ac:dyDescent="0.25">
      <c r="E41" s="23" t="s">
        <v>172</v>
      </c>
      <c r="G41" s="23" t="s">
        <v>173</v>
      </c>
      <c r="H41" s="232">
        <v>500</v>
      </c>
      <c r="I41" t="s">
        <v>155</v>
      </c>
      <c r="AQ41" s="53" t="s">
        <v>174</v>
      </c>
    </row>
    <row r="43" spans="3:43" x14ac:dyDescent="0.25">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175</v>
      </c>
    </row>
    <row r="46" spans="3:43" x14ac:dyDescent="0.25">
      <c r="F46" s="54" t="s">
        <v>176</v>
      </c>
      <c r="G46" s="19" t="s">
        <v>177</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178</v>
      </c>
      <c r="G47" t="s">
        <v>177</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179</v>
      </c>
      <c r="G48" t="s">
        <v>177</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180</v>
      </c>
      <c r="G49" s="28" t="s">
        <v>177</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181</v>
      </c>
      <c r="I51" t="s">
        <v>155</v>
      </c>
      <c r="AQ51" s="3" t="s">
        <v>182</v>
      </c>
    </row>
    <row r="52" spans="5:43" x14ac:dyDescent="0.25">
      <c r="E52" s="24" t="s">
        <v>183</v>
      </c>
    </row>
    <row r="53" spans="5:43" x14ac:dyDescent="0.25">
      <c r="F53" s="54" t="s">
        <v>184</v>
      </c>
      <c r="G53" s="19" t="s">
        <v>177</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185</v>
      </c>
      <c r="G54" t="s">
        <v>177</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186</v>
      </c>
      <c r="G55" t="s">
        <v>177</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187</v>
      </c>
      <c r="G56" s="28" t="s">
        <v>177</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188</v>
      </c>
    </row>
    <row r="59" spans="5:43" x14ac:dyDescent="0.25">
      <c r="E59" s="24" t="s">
        <v>189</v>
      </c>
    </row>
    <row r="60" spans="5:43" x14ac:dyDescent="0.25">
      <c r="F60" s="19" t="s">
        <v>190</v>
      </c>
      <c r="G60" s="19" t="s">
        <v>191</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192</v>
      </c>
      <c r="G61" t="s">
        <v>191</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193</v>
      </c>
      <c r="G62" t="s">
        <v>191</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194</v>
      </c>
      <c r="G63" t="s">
        <v>191</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195</v>
      </c>
      <c r="G64" t="s">
        <v>191</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196</v>
      </c>
      <c r="G65" t="s">
        <v>191</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197</v>
      </c>
      <c r="G66" t="s">
        <v>191</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198</v>
      </c>
      <c r="G67" t="s">
        <v>191</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199</v>
      </c>
      <c r="G68" t="s">
        <v>191</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200</v>
      </c>
      <c r="G69" s="28" t="s">
        <v>191</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201</v>
      </c>
      <c r="I71" t="s">
        <v>155</v>
      </c>
      <c r="AQ71" s="3" t="s">
        <v>202</v>
      </c>
    </row>
    <row r="72" spans="5:43" x14ac:dyDescent="0.25">
      <c r="E72" s="24" t="s">
        <v>203</v>
      </c>
    </row>
    <row r="73" spans="5:43" x14ac:dyDescent="0.25">
      <c r="E73" s="24"/>
      <c r="F73" s="19" t="s">
        <v>190</v>
      </c>
      <c r="G73" s="19" t="s">
        <v>191</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192</v>
      </c>
      <c r="G74" t="s">
        <v>191</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193</v>
      </c>
      <c r="G75" t="s">
        <v>191</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194</v>
      </c>
      <c r="G76" t="s">
        <v>191</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195</v>
      </c>
      <c r="G77" t="s">
        <v>191</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196</v>
      </c>
      <c r="G78" t="s">
        <v>191</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197</v>
      </c>
      <c r="G79" t="s">
        <v>191</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198</v>
      </c>
      <c r="G80" t="s">
        <v>191</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199</v>
      </c>
      <c r="G81" t="s">
        <v>191</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200</v>
      </c>
      <c r="G82" s="28" t="s">
        <v>191</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121</v>
      </c>
      <c r="F86" s="27"/>
      <c r="I86" t="s">
        <v>155</v>
      </c>
      <c r="AQ86" t="s">
        <v>204</v>
      </c>
    </row>
    <row r="87" spans="3:43" x14ac:dyDescent="0.25">
      <c r="E87" s="24" t="s">
        <v>861</v>
      </c>
      <c r="F87" s="24"/>
    </row>
    <row r="88" spans="3:43" x14ac:dyDescent="0.25">
      <c r="E88" s="24"/>
      <c r="F88" s="19" t="s">
        <v>190</v>
      </c>
      <c r="G88" s="19" t="s">
        <v>168</v>
      </c>
      <c r="H88" s="19"/>
      <c r="I88" s="19"/>
      <c r="J88" s="55"/>
      <c r="K88" s="55"/>
      <c r="L88" s="55"/>
      <c r="M88" s="55"/>
      <c r="N88" s="55"/>
      <c r="O88" s="55"/>
      <c r="P88" s="55"/>
      <c r="Q88" s="55"/>
      <c r="R88" s="55"/>
      <c r="S88" s="55"/>
      <c r="T88" s="55"/>
      <c r="U88" s="55"/>
      <c r="V88" s="55"/>
      <c r="W88" s="55"/>
      <c r="X88" s="55"/>
      <c r="Y88" s="55"/>
    </row>
    <row r="89" spans="3:43" x14ac:dyDescent="0.25">
      <c r="E89" s="24"/>
      <c r="F89" t="s">
        <v>192</v>
      </c>
      <c r="G89" t="s">
        <v>168</v>
      </c>
      <c r="J89" s="56"/>
      <c r="K89" s="56"/>
      <c r="L89" s="56"/>
      <c r="M89" s="56"/>
      <c r="N89" s="56"/>
      <c r="O89" s="56"/>
      <c r="P89" s="56"/>
      <c r="Q89" s="56"/>
      <c r="R89" s="56"/>
      <c r="S89" s="56"/>
      <c r="T89" s="56"/>
      <c r="U89" s="56"/>
      <c r="V89" s="56"/>
      <c r="W89" s="56"/>
      <c r="X89" s="56"/>
      <c r="Y89" s="56"/>
    </row>
    <row r="90" spans="3:43" x14ac:dyDescent="0.25">
      <c r="E90" s="24"/>
      <c r="F90" t="s">
        <v>193</v>
      </c>
      <c r="G90" t="s">
        <v>168</v>
      </c>
      <c r="J90" s="60"/>
      <c r="K90" s="60"/>
      <c r="L90" s="60"/>
      <c r="M90" s="60"/>
      <c r="N90" s="60"/>
      <c r="O90" s="60"/>
      <c r="P90" s="60"/>
      <c r="Q90" s="60"/>
      <c r="R90" s="56"/>
      <c r="S90" s="56"/>
      <c r="T90" s="56"/>
      <c r="U90" s="56"/>
      <c r="V90" s="56"/>
      <c r="W90" s="56"/>
      <c r="X90" s="56"/>
      <c r="Y90" s="56"/>
    </row>
    <row r="91" spans="3:43" x14ac:dyDescent="0.25">
      <c r="E91" s="24"/>
      <c r="F91" t="s">
        <v>194</v>
      </c>
      <c r="G91" t="s">
        <v>168</v>
      </c>
      <c r="J91" s="60"/>
      <c r="K91" s="60"/>
      <c r="L91" s="60"/>
      <c r="M91" s="60"/>
      <c r="N91" s="60"/>
      <c r="O91" s="60"/>
      <c r="P91" s="60"/>
      <c r="Q91" s="60"/>
      <c r="R91" s="56"/>
      <c r="S91" s="56"/>
      <c r="T91" s="56"/>
      <c r="U91" s="56"/>
      <c r="V91" s="56"/>
      <c r="W91" s="56"/>
      <c r="X91" s="56"/>
      <c r="Y91" s="56"/>
    </row>
    <row r="92" spans="3:43" x14ac:dyDescent="0.25">
      <c r="E92" s="24"/>
      <c r="F92" t="s">
        <v>195</v>
      </c>
      <c r="G92" t="s">
        <v>168</v>
      </c>
      <c r="J92" s="60"/>
      <c r="K92" s="60"/>
      <c r="L92" s="60"/>
      <c r="M92" s="60"/>
      <c r="N92" s="60"/>
      <c r="O92" s="60"/>
      <c r="P92" s="237">
        <v>0.2</v>
      </c>
      <c r="Q92" s="60"/>
      <c r="R92" s="56"/>
      <c r="S92" s="56"/>
      <c r="T92" s="56"/>
      <c r="U92" s="56"/>
      <c r="V92" s="56"/>
      <c r="W92" s="56"/>
      <c r="X92" s="56"/>
      <c r="Y92" s="56"/>
    </row>
    <row r="93" spans="3:43" x14ac:dyDescent="0.25">
      <c r="E93" s="24"/>
      <c r="F93" t="s">
        <v>196</v>
      </c>
      <c r="G93" t="s">
        <v>168</v>
      </c>
      <c r="J93" s="60"/>
      <c r="K93" s="60"/>
      <c r="L93" s="60"/>
      <c r="M93" s="60"/>
      <c r="N93" s="60"/>
      <c r="O93" s="60"/>
      <c r="P93" s="237">
        <v>1</v>
      </c>
      <c r="Q93" s="60"/>
      <c r="R93" s="56"/>
      <c r="S93" s="56"/>
      <c r="T93" s="56"/>
      <c r="U93" s="56"/>
      <c r="V93" s="56"/>
      <c r="W93" s="56"/>
      <c r="X93" s="56"/>
      <c r="Y93" s="56"/>
    </row>
    <row r="94" spans="3:43" x14ac:dyDescent="0.25">
      <c r="E94" s="24"/>
      <c r="F94" t="s">
        <v>197</v>
      </c>
      <c r="G94" t="s">
        <v>168</v>
      </c>
      <c r="J94" s="60"/>
      <c r="K94" s="60"/>
      <c r="L94" s="60"/>
      <c r="M94" s="60"/>
      <c r="N94" s="60"/>
      <c r="O94" s="60"/>
      <c r="P94" s="60"/>
      <c r="Q94" s="60"/>
      <c r="R94" s="56"/>
      <c r="S94" s="56"/>
      <c r="T94" s="56"/>
      <c r="U94" s="56"/>
      <c r="V94" s="56"/>
      <c r="W94" s="56"/>
      <c r="X94" s="56"/>
      <c r="Y94" s="56"/>
    </row>
    <row r="95" spans="3:43" x14ac:dyDescent="0.25">
      <c r="E95" s="24"/>
      <c r="F95" t="s">
        <v>198</v>
      </c>
      <c r="G95" t="s">
        <v>168</v>
      </c>
      <c r="J95" s="60"/>
      <c r="K95" s="60"/>
      <c r="L95" s="60"/>
      <c r="M95" s="60"/>
      <c r="N95" s="237">
        <v>0.2</v>
      </c>
      <c r="O95" s="237">
        <v>1</v>
      </c>
      <c r="P95" s="237">
        <v>1</v>
      </c>
      <c r="Q95" s="60"/>
      <c r="R95" s="56"/>
      <c r="S95" s="56"/>
      <c r="T95" s="56"/>
      <c r="U95" s="56"/>
      <c r="V95" s="56"/>
      <c r="W95" s="56"/>
      <c r="X95" s="56"/>
      <c r="Y95" s="56"/>
    </row>
    <row r="96" spans="3:43" x14ac:dyDescent="0.25">
      <c r="E96" s="24"/>
      <c r="F96" t="s">
        <v>199</v>
      </c>
      <c r="G96" t="s">
        <v>168</v>
      </c>
      <c r="J96" s="60"/>
      <c r="K96" s="60"/>
      <c r="L96" s="60"/>
      <c r="M96" s="60"/>
      <c r="N96" s="237">
        <v>1</v>
      </c>
      <c r="O96" s="237">
        <v>1</v>
      </c>
      <c r="P96" s="60"/>
      <c r="Q96" s="60"/>
      <c r="R96" s="56"/>
      <c r="S96" s="56"/>
      <c r="T96" s="56"/>
      <c r="U96" s="56"/>
      <c r="V96" s="56"/>
      <c r="W96" s="56"/>
      <c r="X96" s="56"/>
      <c r="Y96" s="56"/>
    </row>
    <row r="97" spans="3:43" x14ac:dyDescent="0.25">
      <c r="E97" s="24"/>
      <c r="F97" s="28" t="s">
        <v>200</v>
      </c>
      <c r="G97" s="28" t="s">
        <v>168</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205</v>
      </c>
      <c r="E101" s="27"/>
    </row>
    <row r="102" spans="3:43" x14ac:dyDescent="0.25">
      <c r="D102" s="24" t="s">
        <v>206</v>
      </c>
      <c r="E102" s="24"/>
    </row>
    <row r="103" spans="3:43" x14ac:dyDescent="0.25">
      <c r="D103" s="24" t="s">
        <v>207</v>
      </c>
      <c r="E103" s="24"/>
    </row>
    <row r="104" spans="3:43" x14ac:dyDescent="0.25">
      <c r="D104" s="24"/>
      <c r="E104" s="27" t="s">
        <v>208</v>
      </c>
    </row>
    <row r="105" spans="3:43" x14ac:dyDescent="0.25">
      <c r="D105" s="24"/>
      <c r="F105" s="23" t="s">
        <v>209</v>
      </c>
      <c r="G105" t="s">
        <v>210</v>
      </c>
      <c r="I105" t="s">
        <v>155</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211</v>
      </c>
    </row>
    <row r="106" spans="3:43" x14ac:dyDescent="0.25">
      <c r="D106" s="24"/>
      <c r="E106" s="23"/>
      <c r="F106" s="23" t="s">
        <v>212</v>
      </c>
      <c r="G106" t="s">
        <v>168</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213</v>
      </c>
      <c r="F108" s="23"/>
      <c r="J108" s="13"/>
      <c r="K108" s="13"/>
      <c r="L108" s="13"/>
      <c r="M108" s="13"/>
      <c r="N108" s="13"/>
      <c r="O108" s="13"/>
      <c r="P108" s="13"/>
      <c r="Q108" s="13"/>
      <c r="R108" s="13"/>
      <c r="S108" s="13"/>
      <c r="T108" s="13"/>
      <c r="U108" s="13"/>
      <c r="V108" s="13"/>
      <c r="W108" s="13"/>
      <c r="X108" s="13"/>
      <c r="Y108" s="13"/>
    </row>
    <row r="109" spans="3:43" x14ac:dyDescent="0.25">
      <c r="D109" s="24"/>
      <c r="F109" s="23" t="s">
        <v>209</v>
      </c>
      <c r="G109" t="s">
        <v>210</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212</v>
      </c>
      <c r="G110" t="s">
        <v>168</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214</v>
      </c>
      <c r="F112" s="23"/>
      <c r="J112" s="13"/>
      <c r="K112" s="13"/>
      <c r="L112" s="13"/>
      <c r="M112" s="13"/>
      <c r="N112" s="13"/>
      <c r="O112" s="13"/>
      <c r="P112" s="13"/>
      <c r="Q112" s="13"/>
      <c r="R112" s="13"/>
      <c r="S112" s="13"/>
      <c r="T112" s="13"/>
      <c r="U112" s="13"/>
      <c r="V112" s="13"/>
      <c r="W112" s="13"/>
      <c r="X112" s="13"/>
      <c r="Y112" s="13"/>
    </row>
    <row r="113" spans="4:25" x14ac:dyDescent="0.25">
      <c r="D113" s="24"/>
      <c r="F113" s="23" t="s">
        <v>209</v>
      </c>
      <c r="G113" t="s">
        <v>210</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212</v>
      </c>
      <c r="G114" t="s">
        <v>168</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215</v>
      </c>
      <c r="F116" s="23"/>
      <c r="J116" s="13"/>
      <c r="K116" s="13"/>
      <c r="L116" s="13"/>
      <c r="M116" s="13"/>
      <c r="N116" s="13"/>
      <c r="O116" s="13"/>
      <c r="P116" s="13"/>
      <c r="Q116" s="13"/>
      <c r="R116" s="13"/>
      <c r="S116" s="13"/>
      <c r="T116" s="13"/>
      <c r="U116" s="13"/>
      <c r="V116" s="13"/>
      <c r="W116" s="13"/>
      <c r="X116" s="13"/>
      <c r="Y116" s="13"/>
    </row>
    <row r="117" spans="4:25" x14ac:dyDescent="0.25">
      <c r="D117" s="24"/>
      <c r="F117" s="23" t="s">
        <v>209</v>
      </c>
      <c r="G117" t="s">
        <v>210</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212</v>
      </c>
      <c r="G118" t="s">
        <v>168</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216</v>
      </c>
      <c r="F120" s="23"/>
      <c r="J120" s="13"/>
      <c r="K120" s="13"/>
      <c r="L120" s="13"/>
      <c r="M120" s="13"/>
      <c r="N120" s="13"/>
      <c r="O120" s="13"/>
      <c r="P120" s="13"/>
      <c r="Q120" s="13"/>
      <c r="R120" s="13"/>
      <c r="S120" s="13"/>
      <c r="T120" s="13"/>
      <c r="U120" s="13"/>
      <c r="V120" s="13"/>
      <c r="W120" s="13"/>
      <c r="X120" s="13"/>
      <c r="Y120" s="13"/>
    </row>
    <row r="121" spans="4:25" x14ac:dyDescent="0.25">
      <c r="D121" s="24"/>
      <c r="F121" s="23" t="s">
        <v>209</v>
      </c>
      <c r="G121" t="s">
        <v>210</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212</v>
      </c>
      <c r="G122" t="s">
        <v>168</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217</v>
      </c>
      <c r="J124" s="13"/>
      <c r="K124" s="13"/>
      <c r="L124" s="13"/>
      <c r="M124" s="13"/>
      <c r="N124" s="13"/>
      <c r="O124" s="13"/>
      <c r="P124" s="13"/>
      <c r="Q124" s="13"/>
      <c r="R124" s="13"/>
      <c r="S124" s="13"/>
      <c r="T124" s="13"/>
      <c r="U124" s="13"/>
      <c r="V124" s="13"/>
      <c r="W124" s="13"/>
      <c r="X124" s="13"/>
      <c r="Y124" s="13"/>
    </row>
    <row r="125" spans="4:25" x14ac:dyDescent="0.25">
      <c r="E125" s="24" t="s">
        <v>218</v>
      </c>
      <c r="J125" s="13"/>
      <c r="K125" s="13"/>
      <c r="L125" s="13"/>
      <c r="M125" s="13"/>
      <c r="N125" s="13"/>
      <c r="O125" s="13"/>
      <c r="P125" s="13"/>
      <c r="Q125" s="13"/>
      <c r="R125" s="13"/>
      <c r="S125" s="13"/>
      <c r="T125" s="13"/>
      <c r="U125" s="13"/>
      <c r="V125" s="13"/>
      <c r="W125" s="13"/>
      <c r="X125" s="13"/>
      <c r="Y125" s="13"/>
    </row>
    <row r="126" spans="4:25" x14ac:dyDescent="0.25">
      <c r="E126" s="24" t="s">
        <v>219</v>
      </c>
      <c r="J126" s="13"/>
      <c r="K126" s="13"/>
      <c r="L126" s="13"/>
      <c r="M126" s="13"/>
      <c r="N126" s="13"/>
      <c r="O126" s="13"/>
      <c r="P126" s="13"/>
      <c r="Q126" s="13"/>
      <c r="R126" s="13"/>
      <c r="S126" s="13"/>
      <c r="T126" s="13"/>
      <c r="U126" s="13"/>
      <c r="V126" s="13"/>
      <c r="W126" s="13"/>
      <c r="X126" s="13"/>
      <c r="Y126" s="13"/>
    </row>
    <row r="127" spans="4:25" x14ac:dyDescent="0.25">
      <c r="E127" s="24"/>
      <c r="F127" t="s">
        <v>217</v>
      </c>
      <c r="G127" t="s">
        <v>210</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220</v>
      </c>
      <c r="J129" s="13"/>
      <c r="K129" s="13"/>
      <c r="L129" s="13"/>
      <c r="M129" s="13"/>
      <c r="N129" s="13"/>
      <c r="O129" s="13"/>
      <c r="P129" s="13"/>
      <c r="Q129" s="13"/>
      <c r="R129" s="13"/>
      <c r="S129" s="13"/>
      <c r="T129" s="13"/>
      <c r="U129" s="13"/>
      <c r="V129" s="13"/>
      <c r="W129" s="13"/>
      <c r="X129" s="13"/>
      <c r="Y129" s="13"/>
    </row>
    <row r="130" spans="3:43" x14ac:dyDescent="0.25">
      <c r="E130" s="24" t="s">
        <v>221</v>
      </c>
      <c r="J130" s="13"/>
      <c r="K130" s="13"/>
      <c r="L130" s="13"/>
      <c r="M130" s="13"/>
      <c r="N130" s="13"/>
      <c r="O130" s="13"/>
      <c r="P130" s="13"/>
      <c r="Q130" s="13"/>
      <c r="R130" s="13"/>
      <c r="S130" s="13"/>
      <c r="T130" s="13"/>
      <c r="U130" s="13"/>
      <c r="V130" s="13"/>
      <c r="W130" s="13"/>
      <c r="X130" s="13"/>
      <c r="Y130" s="13"/>
    </row>
    <row r="131" spans="3:43" x14ac:dyDescent="0.25">
      <c r="E131" s="24"/>
      <c r="F131" t="s">
        <v>222</v>
      </c>
      <c r="G131" t="s">
        <v>210</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223</v>
      </c>
      <c r="I133" t="s">
        <v>155</v>
      </c>
      <c r="J133" s="13"/>
      <c r="K133" s="13"/>
      <c r="L133" s="13"/>
      <c r="M133" s="13"/>
      <c r="N133" s="13"/>
      <c r="O133" s="13"/>
      <c r="P133" s="13"/>
      <c r="Q133" s="13"/>
      <c r="R133" s="13"/>
      <c r="S133" s="13"/>
      <c r="T133" s="13"/>
      <c r="U133" s="13"/>
      <c r="V133" s="13"/>
      <c r="W133" s="13"/>
      <c r="X133" s="13"/>
      <c r="Y133" s="13"/>
      <c r="AQ133" t="s">
        <v>224</v>
      </c>
    </row>
    <row r="134" spans="3:43" x14ac:dyDescent="0.25">
      <c r="E134" s="24" t="s">
        <v>225</v>
      </c>
      <c r="J134" s="13"/>
      <c r="K134" s="13"/>
      <c r="L134" s="13"/>
      <c r="M134" s="13"/>
      <c r="N134" s="13"/>
      <c r="O134" s="13"/>
      <c r="P134" s="13"/>
      <c r="Q134" s="13"/>
      <c r="R134" s="13"/>
      <c r="S134" s="13"/>
      <c r="T134" s="13"/>
      <c r="U134" s="13"/>
      <c r="V134" s="13"/>
      <c r="W134" s="13"/>
      <c r="X134" s="13"/>
      <c r="Y134" s="13"/>
    </row>
    <row r="135" spans="3:43" x14ac:dyDescent="0.25">
      <c r="E135" s="24" t="s">
        <v>226</v>
      </c>
      <c r="J135" s="13"/>
      <c r="K135" s="13"/>
      <c r="L135" s="13"/>
      <c r="M135" s="13"/>
      <c r="N135" s="13"/>
      <c r="O135" s="13"/>
      <c r="P135" s="13"/>
      <c r="Q135" s="13"/>
      <c r="R135" s="13"/>
      <c r="S135" s="13"/>
      <c r="T135" s="13"/>
      <c r="U135" s="13"/>
      <c r="V135" s="13"/>
      <c r="W135" s="13"/>
      <c r="X135" s="13"/>
      <c r="Y135" s="13"/>
    </row>
    <row r="136" spans="3:43" x14ac:dyDescent="0.25">
      <c r="E136" s="24"/>
      <c r="F136" t="s">
        <v>161</v>
      </c>
      <c r="G136" t="s">
        <v>177</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162</v>
      </c>
      <c r="G137" t="s">
        <v>177</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227</v>
      </c>
      <c r="G138" t="s">
        <v>177</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228</v>
      </c>
      <c r="G139" t="s">
        <v>177</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229</v>
      </c>
      <c r="F143" s="27"/>
    </row>
    <row r="144" spans="3:43" x14ac:dyDescent="0.25">
      <c r="E144" s="24" t="s">
        <v>230</v>
      </c>
      <c r="F144" s="24"/>
      <c r="I144" t="s">
        <v>155</v>
      </c>
      <c r="AQ144" t="s">
        <v>898</v>
      </c>
    </row>
    <row r="145" spans="3:44" x14ac:dyDescent="0.25">
      <c r="E145" s="24"/>
      <c r="F145" s="23" t="s">
        <v>229</v>
      </c>
      <c r="G145" t="s">
        <v>150</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155</v>
      </c>
      <c r="AQ147" t="s">
        <v>857</v>
      </c>
    </row>
    <row r="148" spans="3:44" x14ac:dyDescent="0.25">
      <c r="E148" s="24" t="s">
        <v>845</v>
      </c>
      <c r="F148" s="24"/>
    </row>
    <row r="149" spans="3:44" x14ac:dyDescent="0.25">
      <c r="E149" s="24"/>
      <c r="F149" s="23" t="s">
        <v>846</v>
      </c>
      <c r="G149" t="s">
        <v>150</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231</v>
      </c>
      <c r="G153" t="s">
        <v>150</v>
      </c>
      <c r="H153" s="232">
        <v>3</v>
      </c>
    </row>
    <row r="155" spans="3:44" x14ac:dyDescent="0.25">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155</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1161</v>
      </c>
      <c r="AR157" s="79"/>
    </row>
    <row r="158" spans="3:44" x14ac:dyDescent="0.25">
      <c r="C158" s="78"/>
      <c r="D158" s="2"/>
      <c r="F158" s="19" t="s">
        <v>871</v>
      </c>
      <c r="G158" s="19" t="s">
        <v>177</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t="s">
        <v>872</v>
      </c>
      <c r="G159" t="s">
        <v>177</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28" t="s">
        <v>1151</v>
      </c>
      <c r="G160" s="28" t="s">
        <v>177</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25">
      <c r="C161" s="78"/>
      <c r="D161" s="2"/>
      <c r="AR161" s="79"/>
    </row>
    <row r="162" spans="3:44" x14ac:dyDescent="0.25">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25">
      <c r="C163" s="78"/>
      <c r="D163" s="2"/>
      <c r="AR163" s="79"/>
    </row>
    <row r="164" spans="3:44" ht="60" x14ac:dyDescent="0.25">
      <c r="C164" s="78"/>
      <c r="D164" s="2"/>
      <c r="E164" s="27" t="s">
        <v>1007</v>
      </c>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R164" s="79"/>
    </row>
    <row r="165" spans="3:44" x14ac:dyDescent="0.25">
      <c r="C165" s="78"/>
      <c r="D165" s="2"/>
      <c r="F165" s="19" t="s">
        <v>1006</v>
      </c>
      <c r="G165" s="19" t="s">
        <v>907</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25">
      <c r="C166" s="78"/>
      <c r="D166" s="2"/>
      <c r="F166" t="s">
        <v>933</v>
      </c>
      <c r="G166" t="s">
        <v>907</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25">
      <c r="C167" s="78"/>
      <c r="D167" s="2"/>
      <c r="F167" t="s">
        <v>1004</v>
      </c>
      <c r="G167" t="s">
        <v>907</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25">
      <c r="C168" s="78"/>
      <c r="D168" s="2"/>
      <c r="F168" t="s">
        <v>940</v>
      </c>
      <c r="G168" t="s">
        <v>150</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25">
      <c r="C169" s="78"/>
      <c r="D169" s="2"/>
      <c r="F169" t="s">
        <v>939</v>
      </c>
      <c r="G169" t="s">
        <v>150</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25">
      <c r="C170" s="78"/>
      <c r="D170" s="2"/>
      <c r="F170" s="28" t="s">
        <v>1005</v>
      </c>
      <c r="G170" s="28" t="s">
        <v>150</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25">
      <c r="C171" s="78"/>
      <c r="D171" s="2"/>
      <c r="AR171" s="79"/>
    </row>
    <row r="172" spans="3:44" x14ac:dyDescent="0.25">
      <c r="C172" s="78"/>
      <c r="D172" s="2"/>
      <c r="E172" t="s">
        <v>1008</v>
      </c>
      <c r="G172" t="s">
        <v>150</v>
      </c>
      <c r="H172" s="321">
        <v>2</v>
      </c>
      <c r="AR172" s="79"/>
    </row>
    <row r="173" spans="3:44" x14ac:dyDescent="0.25">
      <c r="C173" s="78"/>
      <c r="D173" s="2"/>
      <c r="AR173" s="79"/>
    </row>
    <row r="174" spans="3:44" x14ac:dyDescent="0.25">
      <c r="C174" s="78"/>
      <c r="D174" s="2"/>
      <c r="E174" s="27" t="s">
        <v>1001</v>
      </c>
      <c r="AR174" s="79"/>
    </row>
    <row r="175" spans="3:44" x14ac:dyDescent="0.25">
      <c r="C175" s="78"/>
      <c r="D175" s="2"/>
      <c r="E175" s="27"/>
      <c r="F175" s="24" t="s">
        <v>1002</v>
      </c>
      <c r="AR175" s="79"/>
    </row>
    <row r="176" spans="3:44" ht="60" x14ac:dyDescent="0.25">
      <c r="C176" s="78"/>
      <c r="D176" s="2"/>
      <c r="E176" s="27"/>
      <c r="F176" s="360" t="s">
        <v>1003</v>
      </c>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R176" s="79"/>
    </row>
    <row r="177" spans="2:44" x14ac:dyDescent="0.25">
      <c r="C177" s="78"/>
      <c r="D177" s="2"/>
      <c r="F177" s="19" t="s">
        <v>993</v>
      </c>
      <c r="G177" s="19" t="s">
        <v>150</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25">
      <c r="C178" s="78"/>
      <c r="D178" s="2"/>
      <c r="F178" t="s">
        <v>994</v>
      </c>
      <c r="G178" t="s">
        <v>150</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25">
      <c r="C179" s="78"/>
      <c r="D179" s="2"/>
      <c r="F179" t="s">
        <v>995</v>
      </c>
      <c r="G179" t="s">
        <v>150</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25">
      <c r="C180" s="78"/>
      <c r="D180" s="2"/>
      <c r="F180" t="s">
        <v>996</v>
      </c>
      <c r="G180" t="s">
        <v>150</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25">
      <c r="C181" s="78"/>
      <c r="D181" s="2"/>
      <c r="F181" t="s">
        <v>997</v>
      </c>
      <c r="G181" t="s">
        <v>150</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25">
      <c r="C182" s="78"/>
      <c r="D182" s="2"/>
      <c r="F182" t="s">
        <v>998</v>
      </c>
      <c r="G182" t="s">
        <v>150</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25">
      <c r="C183" s="78"/>
      <c r="D183" s="2"/>
      <c r="F183" t="s">
        <v>999</v>
      </c>
      <c r="G183" t="s">
        <v>150</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25">
      <c r="C184" s="78"/>
      <c r="D184" s="2"/>
      <c r="F184" s="28" t="s">
        <v>1000</v>
      </c>
      <c r="G184" s="28" t="s">
        <v>150</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25">
      <c r="C185" s="78"/>
      <c r="D185" s="2"/>
      <c r="E185" s="27"/>
      <c r="AR185" s="79"/>
    </row>
    <row r="186" spans="2:44" x14ac:dyDescent="0.25">
      <c r="B186" s="25" t="s">
        <v>232</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25">
      <c r="F187" s="3"/>
      <c r="G187" s="3"/>
      <c r="H187" s="3"/>
      <c r="I187" s="3"/>
    </row>
    <row r="188" spans="2:44" x14ac:dyDescent="0.25">
      <c r="E188" t="s">
        <v>233</v>
      </c>
      <c r="G188" s="6" t="s">
        <v>56</v>
      </c>
      <c r="H188" s="20">
        <f t="array" ref="H188">SUM(IF(ISERROR(H15:Y146), 1))</f>
        <v>0</v>
      </c>
      <c r="I188" s="3"/>
    </row>
    <row r="189" spans="2:44" x14ac:dyDescent="0.25">
      <c r="I189" s="3"/>
    </row>
    <row r="190" spans="2:44" x14ac:dyDescent="0.25">
      <c r="E190" s="27" t="s">
        <v>234</v>
      </c>
      <c r="I190" s="3"/>
    </row>
    <row r="191" spans="2:44" x14ac:dyDescent="0.25">
      <c r="F191" s="19" t="s">
        <v>235</v>
      </c>
      <c r="G191" s="63" t="s">
        <v>56</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25">
      <c r="F192" t="s">
        <v>236</v>
      </c>
      <c r="G192" s="6" t="s">
        <v>56</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237</v>
      </c>
      <c r="G193" s="6" t="s">
        <v>56</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238</v>
      </c>
      <c r="G194" s="6" t="s">
        <v>56</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239</v>
      </c>
      <c r="G195" s="40" t="s">
        <v>56</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240</v>
      </c>
      <c r="G197" s="6" t="s">
        <v>56</v>
      </c>
      <c r="H197" s="93">
        <f>H188 + SUM(H191:H195)</f>
        <v>0</v>
      </c>
      <c r="I197" s="3"/>
    </row>
    <row r="198" spans="2:43" x14ac:dyDescent="0.25">
      <c r="I198" s="3"/>
    </row>
    <row r="199" spans="2:43" x14ac:dyDescent="0.25">
      <c r="B199" s="25" t="s">
        <v>107</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activeCell="Q35" sqref="Q35"/>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National Grid Electricity Distribution (South West) plc - [enter data version name]</v>
      </c>
    </row>
    <row r="3" spans="1:43" s="5" customFormat="1" x14ac:dyDescent="0.25">
      <c r="A3" s="5" t="str">
        <f>Cover!D2&amp;" - "&amp;Cover!D8&amp;" v"&amp;Cover!D10&amp;" - "&amp;Cover!D19</f>
        <v>CDCM charging model - Release for charge setting v9 - 2024/25</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287" t="s">
        <v>144</v>
      </c>
      <c r="H5" s="288" t="s">
        <v>145</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241</v>
      </c>
    </row>
    <row r="11" spans="1:43" x14ac:dyDescent="0.25">
      <c r="B11" s="25" t="s">
        <v>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242</v>
      </c>
      <c r="G15" s="12" t="s">
        <v>168</v>
      </c>
      <c r="I15" t="s">
        <v>155</v>
      </c>
      <c r="J15" s="241">
        <v>0.43610295406228738</v>
      </c>
      <c r="K15" s="450">
        <v>0.14875287053560327</v>
      </c>
      <c r="L15" s="450">
        <v>0.43548753733382101</v>
      </c>
      <c r="M15" s="450">
        <v>0.16295077918509474</v>
      </c>
      <c r="N15" s="450">
        <v>0.54786519671524625</v>
      </c>
      <c r="O15" s="450">
        <v>0.6013076823910245</v>
      </c>
      <c r="P15" s="450">
        <v>0.74020653461297725</v>
      </c>
      <c r="Q15" s="450">
        <v>0.49990018204724129</v>
      </c>
      <c r="R15" s="60"/>
      <c r="S15" s="60"/>
      <c r="T15" s="60"/>
      <c r="U15" s="60"/>
      <c r="V15" s="60"/>
      <c r="W15" s="60"/>
      <c r="X15" s="60"/>
      <c r="Y15" s="60"/>
      <c r="AQ15" t="s">
        <v>243</v>
      </c>
    </row>
    <row r="16" spans="1:43" x14ac:dyDescent="0.25">
      <c r="E16" s="23" t="s">
        <v>244</v>
      </c>
      <c r="G16" s="12" t="s">
        <v>168</v>
      </c>
      <c r="I16" t="s">
        <v>155</v>
      </c>
      <c r="J16" s="241">
        <v>0.88309335316900095</v>
      </c>
      <c r="K16" s="60"/>
      <c r="L16" s="450">
        <v>0.72408771656897331</v>
      </c>
      <c r="M16" s="60"/>
      <c r="N16" s="450">
        <v>0.77431107642874375</v>
      </c>
      <c r="O16" s="450">
        <v>0.77304522793215591</v>
      </c>
      <c r="P16" s="450">
        <v>0.83436828413110098</v>
      </c>
      <c r="Q16" s="450">
        <v>0.93602858993799354</v>
      </c>
      <c r="R16" s="60"/>
      <c r="S16" s="60"/>
      <c r="T16" s="60"/>
      <c r="U16" s="60"/>
      <c r="V16" s="60"/>
      <c r="W16" s="60"/>
      <c r="X16" s="60"/>
      <c r="Y16" s="60"/>
      <c r="AQ16" t="s">
        <v>245</v>
      </c>
    </row>
    <row r="17" spans="3:43" x14ac:dyDescent="0.25">
      <c r="G17" s="12"/>
    </row>
    <row r="18" spans="3:43" x14ac:dyDescent="0.25">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155</v>
      </c>
      <c r="AQ20" t="s">
        <v>247</v>
      </c>
    </row>
    <row r="21" spans="3:43" x14ac:dyDescent="0.25">
      <c r="G21" s="12"/>
    </row>
    <row r="22" spans="3:43" x14ac:dyDescent="0.25">
      <c r="E22" s="27" t="s">
        <v>904</v>
      </c>
      <c r="G22" s="12"/>
    </row>
    <row r="23" spans="3:43" x14ac:dyDescent="0.25">
      <c r="E23" s="27"/>
      <c r="F23" s="68" t="s">
        <v>248</v>
      </c>
      <c r="G23" s="68" t="s">
        <v>208</v>
      </c>
      <c r="H23" s="19"/>
      <c r="I23" s="19"/>
      <c r="J23" s="73"/>
      <c r="K23" s="242">
        <v>35.655431680661394</v>
      </c>
      <c r="L23" s="242">
        <v>1.9523606526883828</v>
      </c>
      <c r="M23" s="242">
        <v>26.359392987120788</v>
      </c>
      <c r="N23" s="242">
        <v>111.75875708433344</v>
      </c>
      <c r="O23" s="242">
        <v>40.110581451170553</v>
      </c>
      <c r="P23" s="242">
        <v>389.73469971862858</v>
      </c>
      <c r="Q23" s="73">
        <v>0</v>
      </c>
      <c r="R23" s="242">
        <v>449.17098617729391</v>
      </c>
      <c r="S23" s="242">
        <v>0</v>
      </c>
      <c r="T23" s="242">
        <v>3293.4038045794673</v>
      </c>
      <c r="U23" s="242">
        <v>0</v>
      </c>
      <c r="V23" s="242">
        <v>811.80541464978148</v>
      </c>
      <c r="W23" s="242">
        <v>0</v>
      </c>
      <c r="X23" s="242">
        <v>36268.325369716345</v>
      </c>
      <c r="Y23" s="242">
        <v>0</v>
      </c>
    </row>
    <row r="24" spans="3:43" x14ac:dyDescent="0.25">
      <c r="E24" s="27"/>
      <c r="F24" s="62" t="s">
        <v>249</v>
      </c>
      <c r="G24" s="62" t="s">
        <v>208</v>
      </c>
      <c r="J24" s="69"/>
      <c r="K24" s="243">
        <v>3242.2928055299481</v>
      </c>
      <c r="L24" s="243">
        <v>15.580031406218163</v>
      </c>
      <c r="M24" s="243">
        <v>1539.4768248033429</v>
      </c>
      <c r="N24" s="243">
        <v>806.29455203102941</v>
      </c>
      <c r="O24" s="243">
        <v>294.40620957134337</v>
      </c>
      <c r="P24" s="243">
        <v>2707.3592560779016</v>
      </c>
      <c r="Q24" s="69">
        <v>0</v>
      </c>
      <c r="R24" s="244">
        <v>4233.9521820488117</v>
      </c>
      <c r="S24" s="244">
        <v>0</v>
      </c>
      <c r="T24" s="243">
        <v>31747.078256598921</v>
      </c>
      <c r="U24" s="243">
        <v>0</v>
      </c>
      <c r="V24" s="243">
        <v>7185.4690196373358</v>
      </c>
      <c r="W24" s="243">
        <v>0</v>
      </c>
      <c r="X24" s="243">
        <v>289073.53494591836</v>
      </c>
      <c r="Y24" s="243">
        <v>0</v>
      </c>
    </row>
    <row r="25" spans="3:43" x14ac:dyDescent="0.25">
      <c r="E25" s="27"/>
      <c r="F25" s="62" t="s">
        <v>250</v>
      </c>
      <c r="G25" s="62" t="s">
        <v>208</v>
      </c>
      <c r="J25" s="69"/>
      <c r="K25" s="243">
        <v>25948.408931906615</v>
      </c>
      <c r="L25" s="243">
        <v>13.281998779444473</v>
      </c>
      <c r="M25" s="243">
        <v>10781.362867132962</v>
      </c>
      <c r="N25" s="243">
        <v>717.48676559114074</v>
      </c>
      <c r="O25" s="243">
        <v>290.56134775367269</v>
      </c>
      <c r="P25" s="243">
        <v>3080.9106951208073</v>
      </c>
      <c r="Q25" s="69">
        <v>0</v>
      </c>
      <c r="R25" s="244">
        <v>2141.8426596998402</v>
      </c>
      <c r="S25" s="244">
        <v>0</v>
      </c>
      <c r="T25" s="243">
        <v>27458.669337650925</v>
      </c>
      <c r="U25" s="243">
        <v>0</v>
      </c>
      <c r="V25" s="243">
        <v>6962.9505694314412</v>
      </c>
      <c r="W25" s="243">
        <v>0</v>
      </c>
      <c r="X25" s="243">
        <v>234787.57468174878</v>
      </c>
      <c r="Y25" s="243">
        <v>0</v>
      </c>
    </row>
    <row r="26" spans="3:43" x14ac:dyDescent="0.25">
      <c r="E26" s="27"/>
      <c r="F26" s="62" t="s">
        <v>213</v>
      </c>
      <c r="G26" s="62" t="s">
        <v>213</v>
      </c>
      <c r="J26" s="69"/>
      <c r="K26" s="243">
        <v>0</v>
      </c>
      <c r="L26" s="243">
        <v>56.772481327714715</v>
      </c>
      <c r="M26" s="243">
        <v>0</v>
      </c>
      <c r="N26" s="243">
        <v>57.987950621209734</v>
      </c>
      <c r="O26" s="243">
        <v>7.9998126031526322</v>
      </c>
      <c r="P26" s="243">
        <v>142.99658547212053</v>
      </c>
      <c r="Q26" s="69">
        <v>0</v>
      </c>
      <c r="R26" s="243">
        <v>0</v>
      </c>
      <c r="S26" s="243">
        <v>0</v>
      </c>
      <c r="T26" s="243">
        <v>0</v>
      </c>
      <c r="U26" s="243">
        <v>0</v>
      </c>
      <c r="V26" s="243">
        <v>0</v>
      </c>
      <c r="W26" s="243">
        <v>0</v>
      </c>
      <c r="X26" s="243">
        <v>272.95468099853321</v>
      </c>
      <c r="Y26" s="243">
        <v>0</v>
      </c>
    </row>
    <row r="27" spans="3:43" x14ac:dyDescent="0.25">
      <c r="E27" s="27"/>
      <c r="F27" s="62" t="s">
        <v>251</v>
      </c>
      <c r="G27" s="62" t="s">
        <v>252</v>
      </c>
      <c r="J27" s="69"/>
      <c r="K27" s="69">
        <v>0</v>
      </c>
      <c r="L27" s="69">
        <v>0</v>
      </c>
      <c r="M27" s="69">
        <v>0</v>
      </c>
      <c r="N27" s="243">
        <v>1922.0391617832861</v>
      </c>
      <c r="O27" s="243">
        <v>700.00898471496794</v>
      </c>
      <c r="P27" s="243">
        <v>20430.52101430605</v>
      </c>
      <c r="Q27" s="69">
        <v>0</v>
      </c>
      <c r="R27" s="69">
        <v>0</v>
      </c>
      <c r="S27" s="69">
        <v>0</v>
      </c>
      <c r="T27" s="69">
        <v>0</v>
      </c>
      <c r="U27" s="69">
        <v>0</v>
      </c>
      <c r="V27" s="69">
        <v>0</v>
      </c>
      <c r="W27" s="69">
        <v>0</v>
      </c>
      <c r="X27" s="69">
        <v>0</v>
      </c>
      <c r="Y27" s="69">
        <v>0</v>
      </c>
    </row>
    <row r="28" spans="3:43" x14ac:dyDescent="0.25">
      <c r="E28" s="27"/>
      <c r="F28" s="62" t="s">
        <v>253</v>
      </c>
      <c r="G28" s="62" t="s">
        <v>252</v>
      </c>
      <c r="J28" s="69"/>
      <c r="K28" s="69">
        <v>0</v>
      </c>
      <c r="L28" s="69">
        <v>0</v>
      </c>
      <c r="M28" s="69">
        <v>0</v>
      </c>
      <c r="N28" s="243">
        <v>318.43570274788664</v>
      </c>
      <c r="O28" s="243">
        <v>29.468858762938101</v>
      </c>
      <c r="P28" s="243">
        <v>851.6203571790702</v>
      </c>
      <c r="Q28" s="69">
        <v>0</v>
      </c>
      <c r="R28" s="69">
        <v>0</v>
      </c>
      <c r="S28" s="69">
        <v>0</v>
      </c>
      <c r="T28" s="69">
        <v>0</v>
      </c>
      <c r="U28" s="69">
        <v>0</v>
      </c>
      <c r="V28" s="69">
        <v>0</v>
      </c>
      <c r="W28" s="69">
        <v>0</v>
      </c>
      <c r="X28" s="69">
        <v>0</v>
      </c>
      <c r="Y28" s="69">
        <v>0</v>
      </c>
    </row>
    <row r="29" spans="3:43" x14ac:dyDescent="0.25">
      <c r="E29" s="27"/>
      <c r="F29" s="70" t="s">
        <v>254</v>
      </c>
      <c r="G29" s="70" t="s">
        <v>255</v>
      </c>
      <c r="H29" s="28"/>
      <c r="I29" s="28"/>
      <c r="J29" s="71"/>
      <c r="K29" s="71">
        <v>0</v>
      </c>
      <c r="L29" s="71">
        <v>0</v>
      </c>
      <c r="M29" s="71">
        <v>0</v>
      </c>
      <c r="N29" s="245">
        <v>478.10127999322674</v>
      </c>
      <c r="O29" s="245">
        <v>244.17019087212714</v>
      </c>
      <c r="P29" s="245">
        <v>4111.7595823091997</v>
      </c>
      <c r="Q29" s="71">
        <v>0</v>
      </c>
      <c r="R29" s="71">
        <v>0</v>
      </c>
      <c r="S29" s="71">
        <v>0</v>
      </c>
      <c r="T29" s="245">
        <v>5013.3740000000007</v>
      </c>
      <c r="U29" s="71">
        <v>0</v>
      </c>
      <c r="V29" s="245">
        <v>1539.6130000000001</v>
      </c>
      <c r="W29" s="71">
        <v>0</v>
      </c>
      <c r="X29" s="245">
        <v>7641.41</v>
      </c>
      <c r="Y29" s="71">
        <v>0</v>
      </c>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248</v>
      </c>
      <c r="G32" s="68" t="s">
        <v>208</v>
      </c>
      <c r="H32" s="19"/>
      <c r="I32" s="19"/>
      <c r="J32" s="242">
        <v>420426.20138777059</v>
      </c>
      <c r="K32" s="73">
        <v>0</v>
      </c>
      <c r="L32" s="242">
        <v>5210.3708476135234</v>
      </c>
      <c r="M32" s="73">
        <v>0</v>
      </c>
      <c r="N32" s="242">
        <v>25700.169383843495</v>
      </c>
      <c r="O32" s="242">
        <v>2560.5755361247989</v>
      </c>
      <c r="P32" s="242">
        <v>11809.863756749297</v>
      </c>
      <c r="Q32" s="242">
        <v>3026.8327703338973</v>
      </c>
      <c r="R32" s="73">
        <v>0</v>
      </c>
      <c r="S32" s="73">
        <v>0</v>
      </c>
      <c r="T32" s="73">
        <v>0</v>
      </c>
      <c r="U32" s="73">
        <v>0</v>
      </c>
      <c r="V32" s="73">
        <v>0</v>
      </c>
      <c r="W32" s="73">
        <v>0</v>
      </c>
      <c r="X32" s="73">
        <v>0</v>
      </c>
      <c r="Y32" s="73">
        <v>0</v>
      </c>
    </row>
    <row r="33" spans="5:42" x14ac:dyDescent="0.25">
      <c r="E33" s="27"/>
      <c r="F33" s="62" t="s">
        <v>249</v>
      </c>
      <c r="G33" s="62" t="s">
        <v>208</v>
      </c>
      <c r="J33" s="243">
        <v>2200865.0471394388</v>
      </c>
      <c r="K33" s="69">
        <v>0</v>
      </c>
      <c r="L33" s="243">
        <v>41579.275495068614</v>
      </c>
      <c r="M33" s="316">
        <v>0</v>
      </c>
      <c r="N33" s="243">
        <v>185416.4013727431</v>
      </c>
      <c r="O33" s="243">
        <v>18794.275989973532</v>
      </c>
      <c r="P33" s="243">
        <v>82039.253825583539</v>
      </c>
      <c r="Q33" s="244">
        <v>28127.672923672086</v>
      </c>
      <c r="R33" s="69">
        <v>0</v>
      </c>
      <c r="S33" s="69">
        <v>0</v>
      </c>
      <c r="T33" s="69">
        <v>0</v>
      </c>
      <c r="U33" s="69">
        <v>0</v>
      </c>
      <c r="V33" s="69">
        <v>0</v>
      </c>
      <c r="W33" s="69">
        <v>0</v>
      </c>
      <c r="X33" s="69">
        <v>0</v>
      </c>
      <c r="Y33" s="69">
        <v>0</v>
      </c>
    </row>
    <row r="34" spans="5:42" x14ac:dyDescent="0.25">
      <c r="E34" s="27"/>
      <c r="F34" s="62" t="s">
        <v>250</v>
      </c>
      <c r="G34" s="62" t="s">
        <v>208</v>
      </c>
      <c r="J34" s="243">
        <v>2467621.6811667914</v>
      </c>
      <c r="K34" s="69">
        <v>0</v>
      </c>
      <c r="L34" s="243">
        <v>35446.391087201235</v>
      </c>
      <c r="M34" s="316">
        <v>0</v>
      </c>
      <c r="N34" s="243">
        <v>164994.06299269965</v>
      </c>
      <c r="O34" s="243">
        <v>18548.828061922603</v>
      </c>
      <c r="P34" s="243">
        <v>93358.727314650154</v>
      </c>
      <c r="Q34" s="244">
        <v>69645.577244407395</v>
      </c>
      <c r="R34" s="69">
        <v>0</v>
      </c>
      <c r="S34" s="69">
        <v>0</v>
      </c>
      <c r="T34" s="69">
        <v>0</v>
      </c>
      <c r="U34" s="69">
        <v>0</v>
      </c>
      <c r="V34" s="69">
        <v>0</v>
      </c>
      <c r="W34" s="69">
        <v>0</v>
      </c>
      <c r="X34" s="69">
        <v>0</v>
      </c>
      <c r="Y34" s="69">
        <v>0</v>
      </c>
    </row>
    <row r="35" spans="5:42" x14ac:dyDescent="0.25">
      <c r="E35" s="27"/>
      <c r="F35" s="62" t="s">
        <v>213</v>
      </c>
      <c r="G35" s="62" t="s">
        <v>213</v>
      </c>
      <c r="J35" s="243">
        <v>1506295.0683282644</v>
      </c>
      <c r="K35" s="69">
        <v>0</v>
      </c>
      <c r="L35" s="243">
        <v>65239.127097806886</v>
      </c>
      <c r="M35" s="316">
        <v>0</v>
      </c>
      <c r="N35" s="243">
        <v>3933.7172682430546</v>
      </c>
      <c r="O35" s="243">
        <v>342.61765670732251</v>
      </c>
      <c r="P35" s="243">
        <v>322.19503480811886</v>
      </c>
      <c r="Q35" s="243">
        <v>2539</v>
      </c>
      <c r="R35" s="69">
        <v>0</v>
      </c>
      <c r="S35" s="69">
        <v>0</v>
      </c>
      <c r="T35" s="69">
        <v>0</v>
      </c>
      <c r="U35" s="69">
        <v>0</v>
      </c>
      <c r="V35" s="69">
        <v>0</v>
      </c>
      <c r="W35" s="69">
        <v>0</v>
      </c>
      <c r="X35" s="69">
        <v>0</v>
      </c>
      <c r="Y35" s="69">
        <v>0</v>
      </c>
    </row>
    <row r="36" spans="5:42" x14ac:dyDescent="0.25">
      <c r="E36" s="27"/>
      <c r="F36" s="62" t="s">
        <v>251</v>
      </c>
      <c r="G36" s="62" t="s">
        <v>252</v>
      </c>
      <c r="J36" s="69">
        <v>0</v>
      </c>
      <c r="K36" s="69">
        <v>0</v>
      </c>
      <c r="L36" s="69">
        <v>0</v>
      </c>
      <c r="M36" s="316">
        <v>0</v>
      </c>
      <c r="N36" s="243">
        <v>182131.42775299386</v>
      </c>
      <c r="O36" s="243">
        <v>19486.485887020266</v>
      </c>
      <c r="P36" s="243">
        <v>80307.237229413557</v>
      </c>
      <c r="Q36" s="69">
        <v>0</v>
      </c>
      <c r="R36" s="69">
        <v>0</v>
      </c>
      <c r="S36" s="69">
        <v>0</v>
      </c>
      <c r="T36" s="69">
        <v>0</v>
      </c>
      <c r="U36" s="69">
        <v>0</v>
      </c>
      <c r="V36" s="69">
        <v>0</v>
      </c>
      <c r="W36" s="69">
        <v>0</v>
      </c>
      <c r="X36" s="69">
        <v>0</v>
      </c>
      <c r="Y36" s="69">
        <v>0</v>
      </c>
    </row>
    <row r="37" spans="5:42" x14ac:dyDescent="0.25">
      <c r="E37" s="27"/>
      <c r="F37" s="62" t="s">
        <v>253</v>
      </c>
      <c r="G37" s="62" t="s">
        <v>252</v>
      </c>
      <c r="J37" s="69">
        <v>0</v>
      </c>
      <c r="K37" s="69">
        <v>0</v>
      </c>
      <c r="L37" s="69">
        <v>0</v>
      </c>
      <c r="M37" s="316">
        <v>0</v>
      </c>
      <c r="N37" s="243">
        <v>17235.617736682118</v>
      </c>
      <c r="O37" s="243">
        <v>1667.9217436686849</v>
      </c>
      <c r="P37" s="243">
        <v>2169.057862955141</v>
      </c>
      <c r="Q37" s="69">
        <v>0</v>
      </c>
      <c r="R37" s="69">
        <v>0</v>
      </c>
      <c r="S37" s="69">
        <v>0</v>
      </c>
      <c r="T37" s="69">
        <v>0</v>
      </c>
      <c r="U37" s="69">
        <v>0</v>
      </c>
      <c r="V37" s="69">
        <v>0</v>
      </c>
      <c r="W37" s="69">
        <v>0</v>
      </c>
      <c r="X37" s="69">
        <v>0</v>
      </c>
      <c r="Y37" s="69">
        <v>0</v>
      </c>
    </row>
    <row r="38" spans="5:42" x14ac:dyDescent="0.25">
      <c r="E38" s="27"/>
      <c r="F38" s="70" t="s">
        <v>254</v>
      </c>
      <c r="G38" s="70" t="s">
        <v>255</v>
      </c>
      <c r="H38" s="28"/>
      <c r="I38" s="28"/>
      <c r="J38" s="71">
        <v>0</v>
      </c>
      <c r="K38" s="71">
        <v>0</v>
      </c>
      <c r="L38" s="71">
        <v>0</v>
      </c>
      <c r="M38" s="71">
        <v>0</v>
      </c>
      <c r="N38" s="245">
        <v>29904.392179604714</v>
      </c>
      <c r="O38" s="245">
        <v>5393.2136528093579</v>
      </c>
      <c r="P38" s="245">
        <v>17045.838493955318</v>
      </c>
      <c r="Q38" s="71">
        <v>0</v>
      </c>
      <c r="R38" s="71">
        <v>0</v>
      </c>
      <c r="S38" s="71">
        <v>0</v>
      </c>
      <c r="T38" s="71">
        <v>0</v>
      </c>
      <c r="U38" s="71">
        <v>0</v>
      </c>
      <c r="V38" s="71">
        <v>0</v>
      </c>
      <c r="W38" s="71">
        <v>0</v>
      </c>
      <c r="X38" s="71">
        <v>0</v>
      </c>
      <c r="Y38" s="71">
        <v>0</v>
      </c>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248</v>
      </c>
      <c r="G41" s="68" t="s">
        <v>208</v>
      </c>
      <c r="H41" s="19"/>
      <c r="I41" s="19"/>
      <c r="J41" s="73">
        <v>0</v>
      </c>
      <c r="K41" s="73">
        <v>0</v>
      </c>
      <c r="L41" s="242">
        <v>20841.563482664376</v>
      </c>
      <c r="M41" s="73">
        <v>0</v>
      </c>
      <c r="N41" s="242">
        <v>29511.379151767269</v>
      </c>
      <c r="O41" s="242">
        <v>6283.4427828780554</v>
      </c>
      <c r="P41" s="242">
        <v>36334.963462998385</v>
      </c>
      <c r="Q41" s="73">
        <v>0</v>
      </c>
      <c r="R41" s="73">
        <v>0</v>
      </c>
      <c r="S41" s="73">
        <v>0</v>
      </c>
      <c r="T41" s="73">
        <v>0</v>
      </c>
      <c r="U41" s="73">
        <v>0</v>
      </c>
      <c r="V41" s="73">
        <v>0</v>
      </c>
      <c r="W41" s="73">
        <v>0</v>
      </c>
      <c r="X41" s="73">
        <v>0</v>
      </c>
      <c r="Y41" s="73">
        <v>0</v>
      </c>
    </row>
    <row r="42" spans="5:42" x14ac:dyDescent="0.25">
      <c r="E42" s="27"/>
      <c r="F42" s="62" t="s">
        <v>249</v>
      </c>
      <c r="G42" s="62" t="s">
        <v>208</v>
      </c>
      <c r="J42" s="69">
        <v>0</v>
      </c>
      <c r="K42" s="69">
        <v>0</v>
      </c>
      <c r="L42" s="243">
        <v>166317.74112404627</v>
      </c>
      <c r="M42" s="69">
        <v>0</v>
      </c>
      <c r="N42" s="243">
        <v>212912.74933414286</v>
      </c>
      <c r="O42" s="243">
        <v>46119.614970367285</v>
      </c>
      <c r="P42" s="243">
        <v>252407.08543997028</v>
      </c>
      <c r="Q42" s="69">
        <v>0</v>
      </c>
      <c r="R42" s="69">
        <v>0</v>
      </c>
      <c r="S42" s="69">
        <v>0</v>
      </c>
      <c r="T42" s="69">
        <v>0</v>
      </c>
      <c r="U42" s="69">
        <v>0</v>
      </c>
      <c r="V42" s="69">
        <v>0</v>
      </c>
      <c r="W42" s="69">
        <v>0</v>
      </c>
      <c r="X42" s="69">
        <v>0</v>
      </c>
      <c r="Y42" s="69">
        <v>0</v>
      </c>
    </row>
    <row r="43" spans="5:42" x14ac:dyDescent="0.25">
      <c r="E43" s="27"/>
      <c r="F43" s="62" t="s">
        <v>250</v>
      </c>
      <c r="G43" s="62" t="s">
        <v>208</v>
      </c>
      <c r="J43" s="69">
        <v>0</v>
      </c>
      <c r="K43" s="69">
        <v>0</v>
      </c>
      <c r="L43" s="243">
        <v>141786.10921977315</v>
      </c>
      <c r="M43" s="69">
        <v>0</v>
      </c>
      <c r="N43" s="243">
        <v>189461.87778159833</v>
      </c>
      <c r="O43" s="243">
        <v>45517.305844811061</v>
      </c>
      <c r="P43" s="243">
        <v>287233.28361779102</v>
      </c>
      <c r="Q43" s="69">
        <v>0</v>
      </c>
      <c r="R43" s="69">
        <v>0</v>
      </c>
      <c r="S43" s="69">
        <v>0</v>
      </c>
      <c r="T43" s="69">
        <v>0</v>
      </c>
      <c r="U43" s="69">
        <v>0</v>
      </c>
      <c r="V43" s="69">
        <v>0</v>
      </c>
      <c r="W43" s="69">
        <v>0</v>
      </c>
      <c r="X43" s="69">
        <v>0</v>
      </c>
      <c r="Y43" s="69">
        <v>0</v>
      </c>
    </row>
    <row r="44" spans="5:42" x14ac:dyDescent="0.25">
      <c r="E44" s="27"/>
      <c r="F44" s="62" t="s">
        <v>213</v>
      </c>
      <c r="G44" s="62" t="s">
        <v>213</v>
      </c>
      <c r="J44" s="69">
        <v>0</v>
      </c>
      <c r="K44" s="69">
        <v>0</v>
      </c>
      <c r="L44" s="243">
        <v>44221.199773590401</v>
      </c>
      <c r="M44" s="69">
        <v>0</v>
      </c>
      <c r="N44" s="243">
        <v>2525.4244343778955</v>
      </c>
      <c r="O44" s="243">
        <v>465.00912378580318</v>
      </c>
      <c r="P44" s="243">
        <v>400.49540191570389</v>
      </c>
      <c r="Q44" s="69">
        <v>0</v>
      </c>
      <c r="R44" s="69">
        <v>0</v>
      </c>
      <c r="S44" s="69">
        <v>0</v>
      </c>
      <c r="T44" s="69">
        <v>0</v>
      </c>
      <c r="U44" s="69">
        <v>0</v>
      </c>
      <c r="V44" s="69">
        <v>0</v>
      </c>
      <c r="W44" s="69">
        <v>0</v>
      </c>
      <c r="X44" s="69">
        <v>0</v>
      </c>
      <c r="Y44" s="69">
        <v>0</v>
      </c>
    </row>
    <row r="45" spans="5:42" x14ac:dyDescent="0.25">
      <c r="E45" s="27"/>
      <c r="F45" s="62" t="s">
        <v>251</v>
      </c>
      <c r="G45" s="62" t="s">
        <v>252</v>
      </c>
      <c r="J45" s="69">
        <v>0</v>
      </c>
      <c r="K45" s="69">
        <v>0</v>
      </c>
      <c r="L45" s="69">
        <v>0</v>
      </c>
      <c r="M45" s="69">
        <v>0</v>
      </c>
      <c r="N45" s="243">
        <v>287551.52456937812</v>
      </c>
      <c r="O45" s="243">
        <v>55607.012973977391</v>
      </c>
      <c r="P45" s="243">
        <v>270976.82439930853</v>
      </c>
      <c r="Q45" s="69">
        <v>0</v>
      </c>
      <c r="R45" s="69">
        <v>0</v>
      </c>
      <c r="S45" s="69">
        <v>0</v>
      </c>
      <c r="T45" s="69">
        <v>0</v>
      </c>
      <c r="U45" s="69">
        <v>0</v>
      </c>
      <c r="V45" s="69">
        <v>0</v>
      </c>
      <c r="W45" s="69">
        <v>0</v>
      </c>
      <c r="X45" s="69">
        <v>0</v>
      </c>
      <c r="Y45" s="69">
        <v>0</v>
      </c>
    </row>
    <row r="46" spans="5:42" x14ac:dyDescent="0.25">
      <c r="E46" s="27"/>
      <c r="F46" s="62" t="s">
        <v>253</v>
      </c>
      <c r="G46" s="62" t="s">
        <v>252</v>
      </c>
      <c r="J46" s="69">
        <v>0</v>
      </c>
      <c r="K46" s="69">
        <v>0</v>
      </c>
      <c r="L46" s="69">
        <v>0</v>
      </c>
      <c r="M46" s="69">
        <v>0</v>
      </c>
      <c r="N46" s="243">
        <v>2272.451988773812</v>
      </c>
      <c r="O46" s="243">
        <v>653.79682996340705</v>
      </c>
      <c r="P46" s="243">
        <v>1457.0461477210777</v>
      </c>
      <c r="Q46" s="69">
        <v>0</v>
      </c>
      <c r="R46" s="69">
        <v>0</v>
      </c>
      <c r="S46" s="69">
        <v>0</v>
      </c>
      <c r="T46" s="69">
        <v>0</v>
      </c>
      <c r="U46" s="69">
        <v>0</v>
      </c>
      <c r="V46" s="69">
        <v>0</v>
      </c>
      <c r="W46" s="69">
        <v>0</v>
      </c>
      <c r="X46" s="69">
        <v>0</v>
      </c>
      <c r="Y46" s="69">
        <v>0</v>
      </c>
    </row>
    <row r="47" spans="5:42" x14ac:dyDescent="0.25">
      <c r="E47" s="27"/>
      <c r="F47" s="70" t="s">
        <v>254</v>
      </c>
      <c r="G47" s="70" t="s">
        <v>255</v>
      </c>
      <c r="H47" s="28"/>
      <c r="I47" s="28"/>
      <c r="J47" s="71">
        <v>0</v>
      </c>
      <c r="K47" s="71">
        <v>0</v>
      </c>
      <c r="L47" s="71">
        <v>0</v>
      </c>
      <c r="M47" s="71">
        <v>0</v>
      </c>
      <c r="N47" s="245">
        <v>31962.104427876602</v>
      </c>
      <c r="O47" s="245">
        <v>9682.8550521467787</v>
      </c>
      <c r="P47" s="245">
        <v>36318.533850791755</v>
      </c>
      <c r="Q47" s="71">
        <v>0</v>
      </c>
      <c r="R47" s="71">
        <v>0</v>
      </c>
      <c r="S47" s="71">
        <v>0</v>
      </c>
      <c r="T47" s="71">
        <v>0</v>
      </c>
      <c r="U47" s="71">
        <v>0</v>
      </c>
      <c r="V47" s="71">
        <v>0</v>
      </c>
      <c r="W47" s="71">
        <v>0</v>
      </c>
      <c r="X47" s="71">
        <v>0</v>
      </c>
      <c r="Y47" s="71">
        <v>0</v>
      </c>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248</v>
      </c>
      <c r="G50" s="68" t="s">
        <v>208</v>
      </c>
      <c r="H50" s="19"/>
      <c r="I50" s="19"/>
      <c r="J50" s="73"/>
      <c r="K50" s="73"/>
      <c r="L50" s="242">
        <v>20527.429434803831</v>
      </c>
      <c r="M50" s="73">
        <v>0</v>
      </c>
      <c r="N50" s="242">
        <v>14737.907269907626</v>
      </c>
      <c r="O50" s="242">
        <v>6434.0901641822084</v>
      </c>
      <c r="P50" s="242">
        <v>24824.457270991577</v>
      </c>
      <c r="Q50" s="73"/>
      <c r="R50" s="73"/>
      <c r="S50" s="73"/>
      <c r="T50" s="73"/>
      <c r="U50" s="73"/>
      <c r="V50" s="73"/>
      <c r="W50" s="73"/>
      <c r="X50" s="73"/>
      <c r="Y50" s="73"/>
    </row>
    <row r="51" spans="5:42" x14ac:dyDescent="0.25">
      <c r="E51" s="27"/>
      <c r="F51" s="62" t="s">
        <v>249</v>
      </c>
      <c r="G51" s="62" t="s">
        <v>208</v>
      </c>
      <c r="J51" s="69"/>
      <c r="K51" s="69"/>
      <c r="L51" s="243">
        <v>163810.92030449613</v>
      </c>
      <c r="M51" s="69">
        <v>0</v>
      </c>
      <c r="N51" s="243">
        <v>106328.08247051286</v>
      </c>
      <c r="O51" s="243">
        <v>47225.346248922717</v>
      </c>
      <c r="P51" s="243">
        <v>172447.370527313</v>
      </c>
      <c r="Q51" s="69"/>
      <c r="R51" s="69"/>
      <c r="S51" s="69"/>
      <c r="T51" s="69"/>
      <c r="U51" s="69"/>
      <c r="V51" s="69"/>
      <c r="W51" s="69"/>
      <c r="X51" s="69"/>
      <c r="Y51" s="69"/>
    </row>
    <row r="52" spans="5:42" x14ac:dyDescent="0.25">
      <c r="E52" s="27"/>
      <c r="F52" s="62" t="s">
        <v>250</v>
      </c>
      <c r="G52" s="62" t="s">
        <v>208</v>
      </c>
      <c r="J52" s="69"/>
      <c r="K52" s="69"/>
      <c r="L52" s="243">
        <v>139649.04093040747</v>
      </c>
      <c r="M52" s="69">
        <v>0</v>
      </c>
      <c r="N52" s="243">
        <v>94616.777195265546</v>
      </c>
      <c r="O52" s="243">
        <v>46608.596585649189</v>
      </c>
      <c r="P52" s="243">
        <v>196241.02232104057</v>
      </c>
      <c r="Q52" s="69"/>
      <c r="R52" s="69"/>
      <c r="S52" s="69"/>
      <c r="T52" s="69"/>
      <c r="U52" s="69"/>
      <c r="V52" s="69"/>
      <c r="W52" s="69"/>
      <c r="X52" s="69"/>
      <c r="Y52" s="69"/>
    </row>
    <row r="53" spans="5:42" x14ac:dyDescent="0.25">
      <c r="E53" s="27"/>
      <c r="F53" s="62" t="s">
        <v>213</v>
      </c>
      <c r="G53" s="62" t="s">
        <v>213</v>
      </c>
      <c r="J53" s="69"/>
      <c r="K53" s="69"/>
      <c r="L53" s="243">
        <v>18156.095292054128</v>
      </c>
      <c r="M53" s="69">
        <v>0</v>
      </c>
      <c r="N53" s="243">
        <v>840.58380918168632</v>
      </c>
      <c r="O53" s="243">
        <v>312.68005783788288</v>
      </c>
      <c r="P53" s="243">
        <v>123.41651624927486</v>
      </c>
      <c r="Q53" s="69"/>
      <c r="R53" s="69"/>
      <c r="S53" s="69"/>
      <c r="T53" s="69"/>
      <c r="U53" s="69"/>
      <c r="V53" s="69"/>
      <c r="W53" s="69"/>
      <c r="X53" s="69"/>
      <c r="Y53" s="69"/>
    </row>
    <row r="54" spans="5:42" x14ac:dyDescent="0.25">
      <c r="E54" s="27"/>
      <c r="F54" s="62" t="s">
        <v>251</v>
      </c>
      <c r="G54" s="62" t="s">
        <v>252</v>
      </c>
      <c r="J54" s="69"/>
      <c r="K54" s="69"/>
      <c r="L54" s="69">
        <v>0</v>
      </c>
      <c r="M54" s="69">
        <v>0</v>
      </c>
      <c r="N54" s="243">
        <v>154875.90864175055</v>
      </c>
      <c r="O54" s="243">
        <v>59205.491105254587</v>
      </c>
      <c r="P54" s="243">
        <v>166069.31783211298</v>
      </c>
      <c r="Q54" s="69"/>
      <c r="R54" s="69"/>
      <c r="S54" s="69"/>
      <c r="T54" s="69"/>
      <c r="U54" s="69"/>
      <c r="V54" s="69"/>
      <c r="W54" s="69"/>
      <c r="X54" s="69"/>
      <c r="Y54" s="69"/>
    </row>
    <row r="55" spans="5:42" x14ac:dyDescent="0.25">
      <c r="E55" s="27"/>
      <c r="F55" s="62" t="s">
        <v>253</v>
      </c>
      <c r="G55" s="62" t="s">
        <v>252</v>
      </c>
      <c r="J55" s="69"/>
      <c r="K55" s="69"/>
      <c r="L55" s="69">
        <v>0</v>
      </c>
      <c r="M55" s="69">
        <v>0</v>
      </c>
      <c r="N55" s="243">
        <v>544.94152641872449</v>
      </c>
      <c r="O55" s="243">
        <v>357.66623596231426</v>
      </c>
      <c r="P55" s="243">
        <v>621.98643401730124</v>
      </c>
      <c r="Q55" s="69"/>
      <c r="R55" s="69"/>
      <c r="S55" s="69"/>
      <c r="T55" s="69"/>
      <c r="U55" s="69"/>
      <c r="V55" s="69"/>
      <c r="W55" s="69"/>
      <c r="X55" s="69"/>
      <c r="Y55" s="69"/>
    </row>
    <row r="56" spans="5:42" x14ac:dyDescent="0.25">
      <c r="E56" s="27"/>
      <c r="F56" s="70" t="s">
        <v>254</v>
      </c>
      <c r="G56" s="70" t="s">
        <v>255</v>
      </c>
      <c r="H56" s="28"/>
      <c r="I56" s="28"/>
      <c r="J56" s="71"/>
      <c r="K56" s="71"/>
      <c r="L56" s="71">
        <v>0</v>
      </c>
      <c r="M56" s="71">
        <v>0</v>
      </c>
      <c r="N56" s="245">
        <v>17618.557352734304</v>
      </c>
      <c r="O56" s="245">
        <v>9622.9500400877296</v>
      </c>
      <c r="P56" s="245">
        <v>32007.878898451414</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248</v>
      </c>
      <c r="G59" s="68" t="s">
        <v>208</v>
      </c>
      <c r="H59" s="19"/>
      <c r="I59" s="19"/>
      <c r="J59" s="73"/>
      <c r="K59" s="73"/>
      <c r="L59" s="242">
        <v>68146.604314189986</v>
      </c>
      <c r="M59" s="73">
        <v>0</v>
      </c>
      <c r="N59" s="242">
        <v>17490.73759222127</v>
      </c>
      <c r="O59" s="242">
        <v>26564.367305531145</v>
      </c>
      <c r="P59" s="242">
        <v>66234.275733567876</v>
      </c>
      <c r="Q59" s="73"/>
      <c r="R59" s="73"/>
      <c r="S59" s="73"/>
      <c r="T59" s="73"/>
      <c r="U59" s="73"/>
      <c r="V59" s="73"/>
      <c r="W59" s="73"/>
      <c r="X59" s="73"/>
      <c r="Y59" s="73"/>
    </row>
    <row r="60" spans="5:42" x14ac:dyDescent="0.25">
      <c r="E60" s="27"/>
      <c r="F60" s="62" t="s">
        <v>249</v>
      </c>
      <c r="G60" s="62" t="s">
        <v>208</v>
      </c>
      <c r="J60" s="69"/>
      <c r="K60" s="69"/>
      <c r="L60" s="243">
        <v>543816.65292230446</v>
      </c>
      <c r="M60" s="69">
        <v>0</v>
      </c>
      <c r="N60" s="243">
        <v>126188.64775822811</v>
      </c>
      <c r="O60" s="243">
        <v>194978.84112208779</v>
      </c>
      <c r="P60" s="243">
        <v>460107.81079116662</v>
      </c>
      <c r="Q60" s="69"/>
      <c r="R60" s="69"/>
      <c r="S60" s="69"/>
      <c r="T60" s="69"/>
      <c r="U60" s="69"/>
      <c r="V60" s="69"/>
      <c r="W60" s="69"/>
      <c r="X60" s="69"/>
      <c r="Y60" s="69"/>
    </row>
    <row r="61" spans="5:42" x14ac:dyDescent="0.25">
      <c r="E61" s="27"/>
      <c r="F61" s="62" t="s">
        <v>250</v>
      </c>
      <c r="G61" s="62" t="s">
        <v>208</v>
      </c>
      <c r="J61" s="69"/>
      <c r="K61" s="69"/>
      <c r="L61" s="243">
        <v>463604.46471711597</v>
      </c>
      <c r="M61" s="69">
        <v>0</v>
      </c>
      <c r="N61" s="243">
        <v>112289.83813211547</v>
      </c>
      <c r="O61" s="243">
        <v>192432.47261112632</v>
      </c>
      <c r="P61" s="243">
        <v>523591.78856399894</v>
      </c>
      <c r="Q61" s="69"/>
      <c r="R61" s="69"/>
      <c r="S61" s="69"/>
      <c r="T61" s="69"/>
      <c r="U61" s="69"/>
      <c r="V61" s="69"/>
      <c r="W61" s="69"/>
      <c r="X61" s="69"/>
      <c r="Y61" s="69"/>
    </row>
    <row r="62" spans="5:42" x14ac:dyDescent="0.25">
      <c r="E62" s="27"/>
      <c r="F62" s="62" t="s">
        <v>213</v>
      </c>
      <c r="G62" s="62" t="s">
        <v>213</v>
      </c>
      <c r="J62" s="69"/>
      <c r="K62" s="69"/>
      <c r="L62" s="243">
        <v>18481.094301177247</v>
      </c>
      <c r="M62" s="69">
        <v>0</v>
      </c>
      <c r="N62" s="243">
        <v>549.89936131082754</v>
      </c>
      <c r="O62" s="243">
        <v>598.77879969563264</v>
      </c>
      <c r="P62" s="243">
        <v>130.23831149230517</v>
      </c>
      <c r="Q62" s="69"/>
      <c r="R62" s="69"/>
      <c r="S62" s="69"/>
      <c r="T62" s="69"/>
      <c r="U62" s="69"/>
      <c r="V62" s="69"/>
      <c r="W62" s="69"/>
      <c r="X62" s="69"/>
      <c r="Y62" s="69"/>
    </row>
    <row r="63" spans="5:42" x14ac:dyDescent="0.25">
      <c r="E63" s="27"/>
      <c r="F63" s="62" t="s">
        <v>251</v>
      </c>
      <c r="G63" s="62" t="s">
        <v>252</v>
      </c>
      <c r="J63" s="69"/>
      <c r="K63" s="69"/>
      <c r="L63" s="69">
        <v>0</v>
      </c>
      <c r="M63" s="69">
        <v>0</v>
      </c>
      <c r="N63" s="243">
        <v>187896.96080934943</v>
      </c>
      <c r="O63" s="243">
        <v>237370.98500140154</v>
      </c>
      <c r="P63" s="243">
        <v>420017.37254602788</v>
      </c>
      <c r="Q63" s="69"/>
      <c r="R63" s="69"/>
      <c r="S63" s="69"/>
      <c r="T63" s="69"/>
      <c r="U63" s="69"/>
      <c r="V63" s="69"/>
      <c r="W63" s="69"/>
      <c r="X63" s="69"/>
      <c r="Y63" s="69"/>
    </row>
    <row r="64" spans="5:42" x14ac:dyDescent="0.25">
      <c r="E64" s="27"/>
      <c r="F64" s="62" t="s">
        <v>253</v>
      </c>
      <c r="G64" s="62" t="s">
        <v>252</v>
      </c>
      <c r="J64" s="69"/>
      <c r="K64" s="69"/>
      <c r="L64" s="69">
        <v>0</v>
      </c>
      <c r="M64" s="69">
        <v>0</v>
      </c>
      <c r="N64" s="243">
        <v>108.88468648350157</v>
      </c>
      <c r="O64" s="243">
        <v>2401.1874249123075</v>
      </c>
      <c r="P64" s="243">
        <v>116.79122459681906</v>
      </c>
      <c r="Q64" s="69"/>
      <c r="R64" s="69"/>
      <c r="S64" s="69"/>
      <c r="T64" s="69"/>
      <c r="U64" s="69"/>
      <c r="V64" s="69"/>
      <c r="W64" s="69"/>
      <c r="X64" s="69"/>
      <c r="Y64" s="69"/>
    </row>
    <row r="65" spans="4:43" x14ac:dyDescent="0.25">
      <c r="E65" s="27"/>
      <c r="F65" s="70" t="s">
        <v>254</v>
      </c>
      <c r="G65" s="70" t="s">
        <v>255</v>
      </c>
      <c r="H65" s="28"/>
      <c r="I65" s="28"/>
      <c r="J65" s="71"/>
      <c r="K65" s="71"/>
      <c r="L65" s="71">
        <v>0</v>
      </c>
      <c r="M65" s="71">
        <v>0</v>
      </c>
      <c r="N65" s="245">
        <v>22436.69675979115</v>
      </c>
      <c r="O65" s="245">
        <v>39057.406064084003</v>
      </c>
      <c r="P65" s="245">
        <v>66139.286174492314</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155</v>
      </c>
      <c r="AQ67" t="s">
        <v>247</v>
      </c>
    </row>
    <row r="68" spans="4:43" x14ac:dyDescent="0.25">
      <c r="G68" s="12"/>
    </row>
    <row r="69" spans="4:43" x14ac:dyDescent="0.25">
      <c r="E69" s="27" t="s">
        <v>905</v>
      </c>
      <c r="G69" s="12"/>
    </row>
    <row r="70" spans="4:43" x14ac:dyDescent="0.25">
      <c r="E70" s="27"/>
      <c r="F70" s="68" t="s">
        <v>248</v>
      </c>
      <c r="G70" s="68" t="s">
        <v>208</v>
      </c>
      <c r="H70" s="19"/>
      <c r="I70" s="19"/>
      <c r="J70" s="73"/>
      <c r="K70" s="242">
        <v>0</v>
      </c>
      <c r="L70" s="242">
        <v>2.9380428979096404E-3</v>
      </c>
      <c r="M70" s="242">
        <v>0</v>
      </c>
      <c r="N70" s="242">
        <v>0.37140663101225813</v>
      </c>
      <c r="O70" s="73">
        <v>0</v>
      </c>
      <c r="P70" s="73">
        <v>0</v>
      </c>
      <c r="Q70" s="73">
        <v>0</v>
      </c>
      <c r="R70" s="242">
        <v>2.4079999999999995</v>
      </c>
      <c r="S70" s="73">
        <v>0</v>
      </c>
      <c r="T70" s="242">
        <v>0</v>
      </c>
      <c r="U70" s="73"/>
      <c r="V70" s="73"/>
      <c r="W70" s="73"/>
      <c r="X70" s="73"/>
      <c r="Y70" s="73"/>
    </row>
    <row r="71" spans="4:43" x14ac:dyDescent="0.25">
      <c r="E71" s="27"/>
      <c r="F71" s="62" t="s">
        <v>249</v>
      </c>
      <c r="G71" s="62" t="s">
        <v>208</v>
      </c>
      <c r="J71" s="69"/>
      <c r="K71" s="243">
        <v>0</v>
      </c>
      <c r="L71" s="243">
        <v>2.6322150556960952E-2</v>
      </c>
      <c r="M71" s="243">
        <v>0</v>
      </c>
      <c r="N71" s="243">
        <v>2.6522658325265001</v>
      </c>
      <c r="O71" s="69">
        <v>0</v>
      </c>
      <c r="P71" s="69">
        <v>0</v>
      </c>
      <c r="Q71" s="69">
        <v>0</v>
      </c>
      <c r="R71" s="244">
        <v>163.50900000000001</v>
      </c>
      <c r="S71" s="69">
        <v>0</v>
      </c>
      <c r="T71" s="243">
        <v>0</v>
      </c>
      <c r="U71" s="69"/>
      <c r="V71" s="69"/>
      <c r="W71" s="69"/>
      <c r="X71" s="69"/>
      <c r="Y71" s="69"/>
    </row>
    <row r="72" spans="4:43" x14ac:dyDescent="0.25">
      <c r="E72" s="27"/>
      <c r="F72" s="62" t="s">
        <v>250</v>
      </c>
      <c r="G72" s="62" t="s">
        <v>208</v>
      </c>
      <c r="J72" s="69"/>
      <c r="K72" s="243">
        <v>0</v>
      </c>
      <c r="L72" s="243">
        <v>1.9647629278502266E-2</v>
      </c>
      <c r="M72" s="243">
        <v>0</v>
      </c>
      <c r="N72" s="243">
        <v>2.5961283793213075</v>
      </c>
      <c r="O72" s="69">
        <v>0</v>
      </c>
      <c r="P72" s="69">
        <v>0</v>
      </c>
      <c r="Q72" s="69">
        <v>0</v>
      </c>
      <c r="R72" s="244">
        <v>56.274000000000008</v>
      </c>
      <c r="S72" s="69">
        <v>0</v>
      </c>
      <c r="T72" s="243">
        <v>0</v>
      </c>
      <c r="U72" s="69"/>
      <c r="V72" s="69"/>
      <c r="W72" s="69"/>
      <c r="X72" s="69"/>
      <c r="Y72" s="69"/>
    </row>
    <row r="73" spans="4:43" x14ac:dyDescent="0.25">
      <c r="E73" s="27"/>
      <c r="F73" s="62" t="s">
        <v>213</v>
      </c>
      <c r="G73" s="62" t="s">
        <v>213</v>
      </c>
      <c r="J73" s="69"/>
      <c r="K73" s="243">
        <v>0</v>
      </c>
      <c r="L73" s="243">
        <v>0.12623481871738476</v>
      </c>
      <c r="M73" s="243">
        <v>0</v>
      </c>
      <c r="N73" s="243">
        <v>0.34715495504601035</v>
      </c>
      <c r="O73" s="69">
        <v>0</v>
      </c>
      <c r="P73" s="69">
        <v>0</v>
      </c>
      <c r="Q73" s="69">
        <v>0</v>
      </c>
      <c r="R73" s="243">
        <v>0</v>
      </c>
      <c r="S73" s="69">
        <v>0</v>
      </c>
      <c r="T73" s="243">
        <v>0</v>
      </c>
      <c r="U73" s="69"/>
      <c r="V73" s="69"/>
      <c r="W73" s="69"/>
      <c r="X73" s="69"/>
      <c r="Y73" s="69"/>
    </row>
    <row r="74" spans="4:43" x14ac:dyDescent="0.25">
      <c r="E74" s="27"/>
      <c r="F74" s="62" t="s">
        <v>251</v>
      </c>
      <c r="G74" s="62" t="s">
        <v>252</v>
      </c>
      <c r="J74" s="69"/>
      <c r="K74" s="69">
        <v>0</v>
      </c>
      <c r="L74" s="69">
        <v>0</v>
      </c>
      <c r="M74" s="69">
        <v>0</v>
      </c>
      <c r="N74" s="243">
        <v>14.99303609651184</v>
      </c>
      <c r="O74" s="69">
        <v>0</v>
      </c>
      <c r="P74" s="69">
        <v>0</v>
      </c>
      <c r="Q74" s="69">
        <v>0</v>
      </c>
      <c r="R74" s="69">
        <v>0</v>
      </c>
      <c r="S74" s="69">
        <v>0</v>
      </c>
      <c r="T74" s="69">
        <v>0</v>
      </c>
      <c r="U74" s="69"/>
      <c r="V74" s="69"/>
      <c r="W74" s="69"/>
      <c r="X74" s="69"/>
      <c r="Y74" s="69"/>
    </row>
    <row r="75" spans="4:43" x14ac:dyDescent="0.25">
      <c r="E75" s="27"/>
      <c r="F75" s="62" t="s">
        <v>253</v>
      </c>
      <c r="G75" s="62" t="s">
        <v>252</v>
      </c>
      <c r="J75" s="69"/>
      <c r="K75" s="69">
        <v>0</v>
      </c>
      <c r="L75" s="69">
        <v>0</v>
      </c>
      <c r="M75" s="69">
        <v>0</v>
      </c>
      <c r="N75" s="243">
        <v>0.74528084838246089</v>
      </c>
      <c r="O75" s="69">
        <v>0</v>
      </c>
      <c r="P75" s="69">
        <v>0</v>
      </c>
      <c r="Q75" s="69">
        <v>0</v>
      </c>
      <c r="R75" s="69">
        <v>0</v>
      </c>
      <c r="S75" s="69">
        <v>0</v>
      </c>
      <c r="T75" s="69">
        <v>0</v>
      </c>
      <c r="U75" s="69"/>
      <c r="V75" s="69"/>
      <c r="W75" s="69"/>
      <c r="X75" s="69"/>
      <c r="Y75" s="69"/>
    </row>
    <row r="76" spans="4:43" x14ac:dyDescent="0.25">
      <c r="E76" s="27"/>
      <c r="F76" s="70" t="s">
        <v>254</v>
      </c>
      <c r="G76" s="70" t="s">
        <v>255</v>
      </c>
      <c r="H76" s="28"/>
      <c r="I76" s="28"/>
      <c r="J76" s="71"/>
      <c r="K76" s="71">
        <v>0</v>
      </c>
      <c r="L76" s="71">
        <v>0</v>
      </c>
      <c r="M76" s="71">
        <v>0</v>
      </c>
      <c r="N76" s="245">
        <v>3.2229671801960769</v>
      </c>
      <c r="O76" s="71">
        <v>0</v>
      </c>
      <c r="P76" s="71">
        <v>0</v>
      </c>
      <c r="Q76" s="71">
        <v>0</v>
      </c>
      <c r="R76" s="71">
        <v>0</v>
      </c>
      <c r="S76" s="71">
        <v>0</v>
      </c>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248</v>
      </c>
      <c r="G79" s="68" t="s">
        <v>208</v>
      </c>
      <c r="H79" s="19"/>
      <c r="I79" s="19"/>
      <c r="J79" s="242">
        <v>3994.1255820240008</v>
      </c>
      <c r="K79" s="73">
        <v>0</v>
      </c>
      <c r="L79" s="242">
        <v>7.8409145580899535</v>
      </c>
      <c r="M79" s="73">
        <v>0</v>
      </c>
      <c r="N79" s="242">
        <v>85.40908628837785</v>
      </c>
      <c r="O79" s="73">
        <v>0</v>
      </c>
      <c r="P79" s="73">
        <v>0</v>
      </c>
      <c r="Q79" s="242">
        <v>0</v>
      </c>
      <c r="R79" s="73">
        <v>0</v>
      </c>
      <c r="S79" s="73">
        <v>0</v>
      </c>
      <c r="T79" s="73">
        <v>0</v>
      </c>
      <c r="U79" s="73"/>
      <c r="V79" s="73"/>
      <c r="W79" s="73"/>
      <c r="X79" s="73"/>
      <c r="Y79" s="73"/>
    </row>
    <row r="80" spans="4:43" x14ac:dyDescent="0.25">
      <c r="E80" s="27"/>
      <c r="F80" s="62" t="s">
        <v>249</v>
      </c>
      <c r="G80" s="62" t="s">
        <v>208</v>
      </c>
      <c r="J80" s="243">
        <v>20173.386095784008</v>
      </c>
      <c r="K80" s="69">
        <v>0</v>
      </c>
      <c r="L80" s="243">
        <v>70.247351952945593</v>
      </c>
      <c r="M80" s="316">
        <v>0</v>
      </c>
      <c r="N80" s="243">
        <v>609.91803170712819</v>
      </c>
      <c r="O80" s="69">
        <v>0</v>
      </c>
      <c r="P80" s="69">
        <v>0</v>
      </c>
      <c r="Q80" s="244">
        <v>0</v>
      </c>
      <c r="R80" s="69">
        <v>0</v>
      </c>
      <c r="S80" s="69">
        <v>0</v>
      </c>
      <c r="T80" s="69">
        <v>0</v>
      </c>
      <c r="U80" s="69"/>
      <c r="V80" s="69"/>
      <c r="W80" s="69"/>
      <c r="X80" s="69"/>
      <c r="Y80" s="69"/>
    </row>
    <row r="81" spans="5:42" x14ac:dyDescent="0.25">
      <c r="E81" s="27"/>
      <c r="F81" s="62" t="s">
        <v>250</v>
      </c>
      <c r="G81" s="62" t="s">
        <v>208</v>
      </c>
      <c r="J81" s="243">
        <v>20376.23761872001</v>
      </c>
      <c r="K81" s="69">
        <v>0</v>
      </c>
      <c r="L81" s="243">
        <v>52.434694725311935</v>
      </c>
      <c r="M81" s="316">
        <v>0</v>
      </c>
      <c r="N81" s="243">
        <v>597.00859987564922</v>
      </c>
      <c r="O81" s="69">
        <v>0</v>
      </c>
      <c r="P81" s="69">
        <v>0</v>
      </c>
      <c r="Q81" s="244">
        <v>0</v>
      </c>
      <c r="R81" s="69">
        <v>0</v>
      </c>
      <c r="S81" s="69">
        <v>0</v>
      </c>
      <c r="T81" s="69">
        <v>0</v>
      </c>
      <c r="U81" s="69"/>
      <c r="V81" s="69"/>
      <c r="W81" s="69"/>
      <c r="X81" s="69"/>
      <c r="Y81" s="69"/>
    </row>
    <row r="82" spans="5:42" x14ac:dyDescent="0.25">
      <c r="E82" s="27"/>
      <c r="F82" s="62" t="s">
        <v>213</v>
      </c>
      <c r="G82" s="62" t="s">
        <v>213</v>
      </c>
      <c r="J82" s="243">
        <v>14872.013535035618</v>
      </c>
      <c r="K82" s="69">
        <v>0</v>
      </c>
      <c r="L82" s="243">
        <v>145.06058551384407</v>
      </c>
      <c r="M82" s="316">
        <v>0</v>
      </c>
      <c r="N82" s="243">
        <v>23.549882808259575</v>
      </c>
      <c r="O82" s="69">
        <v>0</v>
      </c>
      <c r="P82" s="69">
        <v>0</v>
      </c>
      <c r="Q82" s="243">
        <v>0</v>
      </c>
      <c r="R82" s="69">
        <v>0</v>
      </c>
      <c r="S82" s="69">
        <v>0</v>
      </c>
      <c r="T82" s="69">
        <v>0</v>
      </c>
      <c r="U82" s="69"/>
      <c r="V82" s="69"/>
      <c r="W82" s="69"/>
      <c r="X82" s="69"/>
      <c r="Y82" s="69"/>
    </row>
    <row r="83" spans="5:42" x14ac:dyDescent="0.25">
      <c r="E83" s="27"/>
      <c r="F83" s="62" t="s">
        <v>251</v>
      </c>
      <c r="G83" s="62" t="s">
        <v>252</v>
      </c>
      <c r="J83" s="69">
        <v>0</v>
      </c>
      <c r="K83" s="69">
        <v>0</v>
      </c>
      <c r="L83" s="69">
        <v>0</v>
      </c>
      <c r="M83" s="316">
        <v>0</v>
      </c>
      <c r="N83" s="243">
        <v>1420.7322748181173</v>
      </c>
      <c r="O83" s="69">
        <v>0</v>
      </c>
      <c r="P83" s="69">
        <v>0</v>
      </c>
      <c r="Q83" s="69">
        <v>0</v>
      </c>
      <c r="R83" s="69">
        <v>0</v>
      </c>
      <c r="S83" s="69">
        <v>0</v>
      </c>
      <c r="T83" s="69">
        <v>0</v>
      </c>
      <c r="U83" s="69"/>
      <c r="V83" s="69"/>
      <c r="W83" s="69"/>
      <c r="X83" s="69"/>
      <c r="Y83" s="69"/>
    </row>
    <row r="84" spans="5:42" x14ac:dyDescent="0.25">
      <c r="E84" s="27"/>
      <c r="F84" s="62" t="s">
        <v>253</v>
      </c>
      <c r="G84" s="62" t="s">
        <v>252</v>
      </c>
      <c r="J84" s="69">
        <v>0</v>
      </c>
      <c r="K84" s="69">
        <v>0</v>
      </c>
      <c r="L84" s="69">
        <v>0</v>
      </c>
      <c r="M84" s="316">
        <v>0</v>
      </c>
      <c r="N84" s="243">
        <v>40.338993706871612</v>
      </c>
      <c r="O84" s="69">
        <v>0</v>
      </c>
      <c r="P84" s="69">
        <v>0</v>
      </c>
      <c r="Q84" s="69">
        <v>0</v>
      </c>
      <c r="R84" s="69">
        <v>0</v>
      </c>
      <c r="S84" s="69">
        <v>0</v>
      </c>
      <c r="T84" s="69">
        <v>0</v>
      </c>
      <c r="U84" s="69"/>
      <c r="V84" s="69"/>
      <c r="W84" s="69"/>
      <c r="X84" s="69"/>
      <c r="Y84" s="69"/>
    </row>
    <row r="85" spans="5:42" x14ac:dyDescent="0.25">
      <c r="E85" s="27"/>
      <c r="F85" s="70" t="s">
        <v>254</v>
      </c>
      <c r="G85" s="70" t="s">
        <v>255</v>
      </c>
      <c r="H85" s="28"/>
      <c r="I85" s="28"/>
      <c r="J85" s="71">
        <v>0</v>
      </c>
      <c r="K85" s="71">
        <v>0</v>
      </c>
      <c r="L85" s="71">
        <v>0</v>
      </c>
      <c r="M85" s="71">
        <v>0</v>
      </c>
      <c r="N85" s="245">
        <v>201.59091508799898</v>
      </c>
      <c r="O85" s="71">
        <v>0</v>
      </c>
      <c r="P85" s="71">
        <v>0</v>
      </c>
      <c r="Q85" s="71">
        <v>0</v>
      </c>
      <c r="R85" s="71">
        <v>0</v>
      </c>
      <c r="S85" s="71">
        <v>0</v>
      </c>
      <c r="T85" s="71">
        <v>0</v>
      </c>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248</v>
      </c>
      <c r="G88" s="68" t="s">
        <v>208</v>
      </c>
      <c r="H88" s="19"/>
      <c r="I88" s="19"/>
      <c r="J88" s="73"/>
      <c r="K88" s="73"/>
      <c r="L88" s="242">
        <v>31.363778760474982</v>
      </c>
      <c r="M88" s="73">
        <v>0</v>
      </c>
      <c r="N88" s="242">
        <v>98.074837205036971</v>
      </c>
      <c r="O88" s="73"/>
      <c r="P88" s="73"/>
      <c r="Q88" s="73"/>
      <c r="R88" s="73"/>
      <c r="S88" s="73"/>
      <c r="T88" s="73"/>
      <c r="U88" s="73"/>
      <c r="V88" s="73"/>
      <c r="W88" s="73"/>
      <c r="X88" s="73"/>
      <c r="Y88" s="73"/>
    </row>
    <row r="89" spans="5:42" x14ac:dyDescent="0.25">
      <c r="E89" s="27"/>
      <c r="F89" s="62" t="s">
        <v>249</v>
      </c>
      <c r="G89" s="62" t="s">
        <v>208</v>
      </c>
      <c r="J89" s="69"/>
      <c r="K89" s="69"/>
      <c r="L89" s="243">
        <v>280.99048763236493</v>
      </c>
      <c r="M89" s="69">
        <v>0</v>
      </c>
      <c r="N89" s="243">
        <v>700.36590095488395</v>
      </c>
      <c r="O89" s="69"/>
      <c r="P89" s="69"/>
      <c r="Q89" s="69"/>
      <c r="R89" s="69"/>
      <c r="S89" s="69"/>
      <c r="T89" s="69"/>
      <c r="U89" s="69"/>
      <c r="V89" s="69"/>
      <c r="W89" s="69"/>
      <c r="X89" s="69"/>
      <c r="Y89" s="69"/>
    </row>
    <row r="90" spans="5:42" x14ac:dyDescent="0.25">
      <c r="E90" s="27"/>
      <c r="F90" s="62" t="s">
        <v>250</v>
      </c>
      <c r="G90" s="62" t="s">
        <v>208</v>
      </c>
      <c r="J90" s="69"/>
      <c r="K90" s="69"/>
      <c r="L90" s="243">
        <v>209.73958491116883</v>
      </c>
      <c r="M90" s="69">
        <v>0</v>
      </c>
      <c r="N90" s="243">
        <v>685.54206334811022</v>
      </c>
      <c r="O90" s="69"/>
      <c r="P90" s="69"/>
      <c r="Q90" s="69"/>
      <c r="R90" s="69"/>
      <c r="S90" s="69"/>
      <c r="T90" s="69"/>
      <c r="U90" s="69"/>
      <c r="V90" s="69"/>
      <c r="W90" s="69"/>
      <c r="X90" s="69"/>
      <c r="Y90" s="69"/>
    </row>
    <row r="91" spans="5:42" x14ac:dyDescent="0.25">
      <c r="E91" s="27"/>
      <c r="F91" s="62" t="s">
        <v>213</v>
      </c>
      <c r="G91" s="62" t="s">
        <v>213</v>
      </c>
      <c r="J91" s="69"/>
      <c r="K91" s="69"/>
      <c r="L91" s="243">
        <v>98.326777451584476</v>
      </c>
      <c r="M91" s="69">
        <v>0</v>
      </c>
      <c r="N91" s="243">
        <v>15.11889274576099</v>
      </c>
      <c r="O91" s="69"/>
      <c r="P91" s="69"/>
      <c r="Q91" s="69"/>
      <c r="R91" s="69"/>
      <c r="S91" s="69"/>
      <c r="T91" s="69"/>
      <c r="U91" s="69"/>
      <c r="V91" s="69"/>
      <c r="W91" s="69"/>
      <c r="X91" s="69"/>
      <c r="Y91" s="69"/>
    </row>
    <row r="92" spans="5:42" x14ac:dyDescent="0.25">
      <c r="E92" s="27"/>
      <c r="F92" s="62" t="s">
        <v>251</v>
      </c>
      <c r="G92" s="62" t="s">
        <v>252</v>
      </c>
      <c r="J92" s="69"/>
      <c r="K92" s="69"/>
      <c r="L92" s="69">
        <v>0</v>
      </c>
      <c r="M92" s="69">
        <v>0</v>
      </c>
      <c r="N92" s="243">
        <v>2243.0710430872077</v>
      </c>
      <c r="O92" s="69"/>
      <c r="P92" s="69"/>
      <c r="Q92" s="69"/>
      <c r="R92" s="69"/>
      <c r="S92" s="69"/>
      <c r="T92" s="69"/>
      <c r="U92" s="69"/>
      <c r="V92" s="69"/>
      <c r="W92" s="69"/>
      <c r="X92" s="69"/>
      <c r="Y92" s="69"/>
    </row>
    <row r="93" spans="5:42" x14ac:dyDescent="0.25">
      <c r="E93" s="27"/>
      <c r="F93" s="62" t="s">
        <v>253</v>
      </c>
      <c r="G93" s="62" t="s">
        <v>252</v>
      </c>
      <c r="J93" s="69"/>
      <c r="K93" s="69"/>
      <c r="L93" s="69">
        <v>0</v>
      </c>
      <c r="M93" s="69">
        <v>0</v>
      </c>
      <c r="N93" s="243">
        <v>5.3185460408082248</v>
      </c>
      <c r="O93" s="69"/>
      <c r="P93" s="69"/>
      <c r="Q93" s="69"/>
      <c r="R93" s="69"/>
      <c r="S93" s="69"/>
      <c r="T93" s="69"/>
      <c r="U93" s="69"/>
      <c r="V93" s="69"/>
      <c r="W93" s="69"/>
      <c r="X93" s="69"/>
      <c r="Y93" s="69"/>
    </row>
    <row r="94" spans="5:42" x14ac:dyDescent="0.25">
      <c r="E94" s="27"/>
      <c r="F94" s="70" t="s">
        <v>254</v>
      </c>
      <c r="G94" s="70" t="s">
        <v>255</v>
      </c>
      <c r="H94" s="28"/>
      <c r="I94" s="28"/>
      <c r="J94" s="71"/>
      <c r="K94" s="71"/>
      <c r="L94" s="71">
        <v>0</v>
      </c>
      <c r="M94" s="71">
        <v>0</v>
      </c>
      <c r="N94" s="245">
        <v>215.46232543553398</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248</v>
      </c>
      <c r="G97" s="68" t="s">
        <v>208</v>
      </c>
      <c r="H97" s="19"/>
      <c r="I97" s="19"/>
      <c r="J97" s="73"/>
      <c r="K97" s="73"/>
      <c r="L97" s="242">
        <v>30.891048833738648</v>
      </c>
      <c r="M97" s="73">
        <v>0</v>
      </c>
      <c r="N97" s="242">
        <v>48.978322863388222</v>
      </c>
      <c r="O97" s="73"/>
      <c r="P97" s="73"/>
      <c r="Q97" s="73"/>
      <c r="R97" s="73"/>
      <c r="S97" s="73"/>
      <c r="T97" s="73"/>
      <c r="U97" s="73"/>
      <c r="V97" s="73"/>
      <c r="W97" s="73"/>
      <c r="X97" s="73"/>
      <c r="Y97" s="73"/>
    </row>
    <row r="98" spans="5:42" x14ac:dyDescent="0.25">
      <c r="E98" s="27"/>
      <c r="F98" s="62" t="s">
        <v>249</v>
      </c>
      <c r="G98" s="62" t="s">
        <v>208</v>
      </c>
      <c r="J98" s="69"/>
      <c r="K98" s="69"/>
      <c r="L98" s="243">
        <v>276.75526413947853</v>
      </c>
      <c r="M98" s="69">
        <v>0</v>
      </c>
      <c r="N98" s="243">
        <v>349.76093967673029</v>
      </c>
      <c r="O98" s="69"/>
      <c r="P98" s="69"/>
      <c r="Q98" s="69"/>
      <c r="R98" s="69"/>
      <c r="S98" s="69"/>
      <c r="T98" s="69"/>
      <c r="U98" s="69"/>
      <c r="V98" s="69"/>
      <c r="W98" s="69"/>
      <c r="X98" s="69"/>
      <c r="Y98" s="69"/>
    </row>
    <row r="99" spans="5:42" x14ac:dyDescent="0.25">
      <c r="E99" s="27"/>
      <c r="F99" s="62" t="s">
        <v>250</v>
      </c>
      <c r="G99" s="62" t="s">
        <v>208</v>
      </c>
      <c r="J99" s="69"/>
      <c r="K99" s="69"/>
      <c r="L99" s="243">
        <v>206.57828922145066</v>
      </c>
      <c r="M99" s="69">
        <v>0</v>
      </c>
      <c r="N99" s="243">
        <v>342.3579530894458</v>
      </c>
      <c r="O99" s="69"/>
      <c r="P99" s="69"/>
      <c r="Q99" s="69"/>
      <c r="R99" s="69"/>
      <c r="S99" s="69"/>
      <c r="T99" s="69"/>
      <c r="U99" s="69"/>
      <c r="V99" s="69"/>
      <c r="W99" s="69"/>
      <c r="X99" s="69"/>
      <c r="Y99" s="69"/>
    </row>
    <row r="100" spans="5:42" x14ac:dyDescent="0.25">
      <c r="E100" s="27"/>
      <c r="F100" s="62" t="s">
        <v>213</v>
      </c>
      <c r="G100" s="62" t="s">
        <v>213</v>
      </c>
      <c r="J100" s="69"/>
      <c r="K100" s="69"/>
      <c r="L100" s="243">
        <v>40.370463721288147</v>
      </c>
      <c r="M100" s="69">
        <v>0</v>
      </c>
      <c r="N100" s="243">
        <v>5.0323012171107608</v>
      </c>
      <c r="O100" s="69"/>
      <c r="P100" s="69"/>
      <c r="Q100" s="69"/>
      <c r="R100" s="69"/>
      <c r="S100" s="69"/>
      <c r="T100" s="69"/>
      <c r="U100" s="69"/>
      <c r="V100" s="69"/>
      <c r="W100" s="69"/>
      <c r="X100" s="69"/>
      <c r="Y100" s="69"/>
    </row>
    <row r="101" spans="5:42" x14ac:dyDescent="0.25">
      <c r="E101" s="27"/>
      <c r="F101" s="62" t="s">
        <v>251</v>
      </c>
      <c r="G101" s="62" t="s">
        <v>252</v>
      </c>
      <c r="J101" s="69"/>
      <c r="K101" s="69"/>
      <c r="L101" s="69">
        <v>0</v>
      </c>
      <c r="M101" s="69">
        <v>0</v>
      </c>
      <c r="N101" s="243">
        <v>1208.1231927612789</v>
      </c>
      <c r="O101" s="69"/>
      <c r="P101" s="69"/>
      <c r="Q101" s="69"/>
      <c r="R101" s="69"/>
      <c r="S101" s="69"/>
      <c r="T101" s="69"/>
      <c r="U101" s="69"/>
      <c r="V101" s="69"/>
      <c r="W101" s="69"/>
      <c r="X101" s="69"/>
      <c r="Y101" s="69"/>
    </row>
    <row r="102" spans="5:42" x14ac:dyDescent="0.25">
      <c r="E102" s="27"/>
      <c r="F102" s="62" t="s">
        <v>253</v>
      </c>
      <c r="G102" s="62" t="s">
        <v>252</v>
      </c>
      <c r="J102" s="69"/>
      <c r="K102" s="69"/>
      <c r="L102" s="69">
        <v>0</v>
      </c>
      <c r="M102" s="69">
        <v>0</v>
      </c>
      <c r="N102" s="243">
        <v>1.2754049863866139</v>
      </c>
      <c r="O102" s="69"/>
      <c r="P102" s="69"/>
      <c r="Q102" s="69"/>
      <c r="R102" s="69"/>
      <c r="S102" s="69"/>
      <c r="T102" s="69"/>
      <c r="U102" s="69"/>
      <c r="V102" s="69"/>
      <c r="W102" s="69"/>
      <c r="X102" s="69"/>
      <c r="Y102" s="69"/>
    </row>
    <row r="103" spans="5:42" x14ac:dyDescent="0.25">
      <c r="E103" s="27"/>
      <c r="F103" s="70" t="s">
        <v>254</v>
      </c>
      <c r="G103" s="70" t="s">
        <v>255</v>
      </c>
      <c r="H103" s="28"/>
      <c r="I103" s="28"/>
      <c r="J103" s="71"/>
      <c r="K103" s="71"/>
      <c r="L103" s="71">
        <v>0</v>
      </c>
      <c r="M103" s="71">
        <v>0</v>
      </c>
      <c r="N103" s="245">
        <v>118.76988095716746</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248</v>
      </c>
      <c r="G106" s="68" t="s">
        <v>208</v>
      </c>
      <c r="H106" s="19"/>
      <c r="I106" s="19"/>
      <c r="J106" s="73"/>
      <c r="K106" s="73"/>
      <c r="L106" s="242">
        <v>102.55156830079855</v>
      </c>
      <c r="M106" s="73">
        <v>0</v>
      </c>
      <c r="N106" s="242">
        <v>58.126773172184862</v>
      </c>
      <c r="O106" s="73"/>
      <c r="P106" s="73"/>
      <c r="Q106" s="73"/>
      <c r="R106" s="73"/>
      <c r="S106" s="73"/>
      <c r="T106" s="73"/>
      <c r="U106" s="73"/>
      <c r="V106" s="73"/>
      <c r="W106" s="73"/>
      <c r="X106" s="73"/>
      <c r="Y106" s="73"/>
    </row>
    <row r="107" spans="5:42" x14ac:dyDescent="0.25">
      <c r="E107" s="27"/>
      <c r="F107" s="62" t="s">
        <v>249</v>
      </c>
      <c r="G107" s="62" t="s">
        <v>208</v>
      </c>
      <c r="J107" s="69"/>
      <c r="K107" s="69"/>
      <c r="L107" s="243">
        <v>918.76732725265447</v>
      </c>
      <c r="M107" s="69">
        <v>0</v>
      </c>
      <c r="N107" s="243">
        <v>415.09128154073164</v>
      </c>
      <c r="O107" s="69"/>
      <c r="P107" s="69"/>
      <c r="Q107" s="69"/>
      <c r="R107" s="69"/>
      <c r="S107" s="69"/>
      <c r="T107" s="69"/>
      <c r="U107" s="69"/>
      <c r="V107" s="69"/>
      <c r="W107" s="69"/>
      <c r="X107" s="69"/>
      <c r="Y107" s="69"/>
    </row>
    <row r="108" spans="5:42" x14ac:dyDescent="0.25">
      <c r="E108" s="27"/>
      <c r="F108" s="62" t="s">
        <v>250</v>
      </c>
      <c r="G108" s="62" t="s">
        <v>208</v>
      </c>
      <c r="J108" s="69"/>
      <c r="K108" s="69"/>
      <c r="L108" s="243">
        <v>685.79502271279046</v>
      </c>
      <c r="M108" s="69">
        <v>0</v>
      </c>
      <c r="N108" s="243">
        <v>406.3055229234746</v>
      </c>
      <c r="O108" s="69"/>
      <c r="P108" s="69"/>
      <c r="Q108" s="69"/>
      <c r="R108" s="69"/>
      <c r="S108" s="69"/>
      <c r="T108" s="69"/>
      <c r="U108" s="69"/>
      <c r="V108" s="69"/>
      <c r="W108" s="69"/>
      <c r="X108" s="69"/>
      <c r="Y108" s="69"/>
    </row>
    <row r="109" spans="5:42" x14ac:dyDescent="0.25">
      <c r="E109" s="27"/>
      <c r="F109" s="62" t="s">
        <v>213</v>
      </c>
      <c r="G109" s="62" t="s">
        <v>213</v>
      </c>
      <c r="J109" s="69"/>
      <c r="K109" s="69"/>
      <c r="L109" s="243">
        <v>41.093105924702968</v>
      </c>
      <c r="M109" s="69">
        <v>0</v>
      </c>
      <c r="N109" s="243">
        <v>3.2920681971103534</v>
      </c>
      <c r="O109" s="69"/>
      <c r="P109" s="69"/>
      <c r="Q109" s="69"/>
      <c r="R109" s="69"/>
      <c r="S109" s="69"/>
      <c r="T109" s="69"/>
      <c r="U109" s="69"/>
      <c r="V109" s="69"/>
      <c r="W109" s="69"/>
      <c r="X109" s="69"/>
      <c r="Y109" s="69"/>
    </row>
    <row r="110" spans="5:42" x14ac:dyDescent="0.25">
      <c r="E110" s="27"/>
      <c r="F110" s="62" t="s">
        <v>251</v>
      </c>
      <c r="G110" s="62" t="s">
        <v>252</v>
      </c>
      <c r="J110" s="69"/>
      <c r="K110" s="69"/>
      <c r="L110" s="69">
        <v>0</v>
      </c>
      <c r="M110" s="69">
        <v>0</v>
      </c>
      <c r="N110" s="243">
        <v>1465.7068242177083</v>
      </c>
      <c r="O110" s="69"/>
      <c r="P110" s="69"/>
      <c r="Q110" s="69"/>
      <c r="R110" s="69"/>
      <c r="S110" s="69"/>
      <c r="T110" s="69"/>
      <c r="U110" s="69"/>
      <c r="V110" s="69"/>
      <c r="W110" s="69"/>
      <c r="X110" s="69"/>
      <c r="Y110" s="69"/>
    </row>
    <row r="111" spans="5:42" x14ac:dyDescent="0.25">
      <c r="E111" s="27"/>
      <c r="F111" s="62" t="s">
        <v>253</v>
      </c>
      <c r="G111" s="62" t="s">
        <v>252</v>
      </c>
      <c r="J111" s="69"/>
      <c r="K111" s="69"/>
      <c r="L111" s="69">
        <v>0</v>
      </c>
      <c r="M111" s="69">
        <v>0</v>
      </c>
      <c r="N111" s="243">
        <v>0.25483848330452602</v>
      </c>
      <c r="O111" s="69"/>
      <c r="P111" s="69"/>
      <c r="Q111" s="69"/>
      <c r="R111" s="69"/>
      <c r="S111" s="69"/>
      <c r="T111" s="69"/>
      <c r="U111" s="69"/>
      <c r="V111" s="69"/>
      <c r="W111" s="69"/>
      <c r="X111" s="69"/>
      <c r="Y111" s="69"/>
    </row>
    <row r="112" spans="5:42" x14ac:dyDescent="0.25">
      <c r="E112" s="27"/>
      <c r="F112" s="70" t="s">
        <v>254</v>
      </c>
      <c r="G112" s="70" t="s">
        <v>255</v>
      </c>
      <c r="H112" s="28"/>
      <c r="I112" s="28"/>
      <c r="J112" s="71"/>
      <c r="K112" s="71"/>
      <c r="L112" s="71">
        <v>0</v>
      </c>
      <c r="M112" s="71">
        <v>0</v>
      </c>
      <c r="N112" s="245">
        <v>151.24982993110368</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155</v>
      </c>
      <c r="AQ114" t="s">
        <v>247</v>
      </c>
    </row>
    <row r="115" spans="4:43" x14ac:dyDescent="0.25">
      <c r="G115" s="12"/>
    </row>
    <row r="116" spans="4:43" x14ac:dyDescent="0.25">
      <c r="E116" s="27" t="s">
        <v>906</v>
      </c>
      <c r="G116" s="12"/>
    </row>
    <row r="117" spans="4:43" x14ac:dyDescent="0.25">
      <c r="E117" s="27"/>
      <c r="F117" s="68" t="s">
        <v>248</v>
      </c>
      <c r="G117" s="68" t="s">
        <v>208</v>
      </c>
      <c r="H117" s="19"/>
      <c r="I117" s="19"/>
      <c r="J117" s="73"/>
      <c r="K117" s="242">
        <v>0</v>
      </c>
      <c r="L117" s="242">
        <v>1.7942296743666004E-2</v>
      </c>
      <c r="M117" s="242">
        <v>0</v>
      </c>
      <c r="N117" s="242">
        <v>7.7737985533873246</v>
      </c>
      <c r="O117" s="242">
        <v>0.56633149213877765</v>
      </c>
      <c r="P117" s="242">
        <v>3.5054593956071423</v>
      </c>
      <c r="Q117" s="73">
        <v>0</v>
      </c>
      <c r="R117" s="242">
        <v>6.234</v>
      </c>
      <c r="S117" s="242">
        <v>0</v>
      </c>
      <c r="T117" s="242">
        <v>7.8260000000000032</v>
      </c>
      <c r="U117" s="73">
        <v>0</v>
      </c>
      <c r="V117" s="242">
        <v>0</v>
      </c>
      <c r="W117" s="73">
        <v>0</v>
      </c>
      <c r="X117" s="242">
        <v>0</v>
      </c>
      <c r="Y117" s="73">
        <v>0</v>
      </c>
    </row>
    <row r="118" spans="4:43" x14ac:dyDescent="0.25">
      <c r="E118" s="27"/>
      <c r="F118" s="62" t="s">
        <v>249</v>
      </c>
      <c r="G118" s="62" t="s">
        <v>208</v>
      </c>
      <c r="J118" s="69"/>
      <c r="K118" s="243">
        <v>0</v>
      </c>
      <c r="L118" s="243">
        <v>0.14336231929097859</v>
      </c>
      <c r="M118" s="243">
        <v>0</v>
      </c>
      <c r="N118" s="243">
        <v>50.234699476143327</v>
      </c>
      <c r="O118" s="243">
        <v>3.433521502551768</v>
      </c>
      <c r="P118" s="243">
        <v>22.765066895488712</v>
      </c>
      <c r="Q118" s="69">
        <v>0</v>
      </c>
      <c r="R118" s="244">
        <v>163.50900000000001</v>
      </c>
      <c r="S118" s="244">
        <v>0</v>
      </c>
      <c r="T118" s="243">
        <v>65.302000000000007</v>
      </c>
      <c r="U118" s="69">
        <v>0</v>
      </c>
      <c r="V118" s="243">
        <v>0</v>
      </c>
      <c r="W118" s="69">
        <v>0</v>
      </c>
      <c r="X118" s="243">
        <v>0</v>
      </c>
      <c r="Y118" s="69">
        <v>0</v>
      </c>
    </row>
    <row r="119" spans="4:43" x14ac:dyDescent="0.25">
      <c r="E119" s="27"/>
      <c r="F119" s="62" t="s">
        <v>250</v>
      </c>
      <c r="G119" s="62" t="s">
        <v>208</v>
      </c>
      <c r="J119" s="69"/>
      <c r="K119" s="243">
        <v>0</v>
      </c>
      <c r="L119" s="243">
        <v>0.10861382418751396</v>
      </c>
      <c r="M119" s="243">
        <v>0</v>
      </c>
      <c r="N119" s="243">
        <v>48.49864249491587</v>
      </c>
      <c r="O119" s="243">
        <v>4.1287367021650692</v>
      </c>
      <c r="P119" s="243">
        <v>26.244822906227778</v>
      </c>
      <c r="Q119" s="69">
        <v>0</v>
      </c>
      <c r="R119" s="244">
        <v>56.274000000000008</v>
      </c>
      <c r="S119" s="244">
        <v>0</v>
      </c>
      <c r="T119" s="243">
        <v>69.393999999999991</v>
      </c>
      <c r="U119" s="69">
        <v>0</v>
      </c>
      <c r="V119" s="243">
        <v>0</v>
      </c>
      <c r="W119" s="69">
        <v>0</v>
      </c>
      <c r="X119" s="243">
        <v>0</v>
      </c>
      <c r="Y119" s="69">
        <v>0</v>
      </c>
    </row>
    <row r="120" spans="4:43" x14ac:dyDescent="0.25">
      <c r="E120" s="27"/>
      <c r="F120" s="62" t="s">
        <v>213</v>
      </c>
      <c r="G120" s="62" t="s">
        <v>213</v>
      </c>
      <c r="J120" s="69"/>
      <c r="K120" s="243">
        <v>0</v>
      </c>
      <c r="L120" s="243">
        <v>0.47469967463076912</v>
      </c>
      <c r="M120" s="243">
        <v>0</v>
      </c>
      <c r="N120" s="243">
        <v>2.7407148406421262</v>
      </c>
      <c r="O120" s="243">
        <v>4.9903394748886803E-2</v>
      </c>
      <c r="P120" s="243">
        <v>1.2716062387303642</v>
      </c>
      <c r="Q120" s="69">
        <v>0</v>
      </c>
      <c r="R120" s="243">
        <v>0</v>
      </c>
      <c r="S120" s="243">
        <v>0</v>
      </c>
      <c r="T120" s="243">
        <v>0</v>
      </c>
      <c r="U120" s="69">
        <v>0</v>
      </c>
      <c r="V120" s="243">
        <v>0</v>
      </c>
      <c r="W120" s="69">
        <v>0</v>
      </c>
      <c r="X120" s="243">
        <v>0</v>
      </c>
      <c r="Y120" s="69">
        <v>0</v>
      </c>
    </row>
    <row r="121" spans="4:43" x14ac:dyDescent="0.25">
      <c r="E121" s="27"/>
      <c r="F121" s="62" t="s">
        <v>251</v>
      </c>
      <c r="G121" s="62" t="s">
        <v>252</v>
      </c>
      <c r="J121" s="69"/>
      <c r="K121" s="69">
        <v>0</v>
      </c>
      <c r="L121" s="69">
        <v>0</v>
      </c>
      <c r="M121" s="69">
        <v>0</v>
      </c>
      <c r="N121" s="243">
        <v>168.07103246758192</v>
      </c>
      <c r="O121" s="243">
        <v>12.392712598545598</v>
      </c>
      <c r="P121" s="243">
        <v>321.35573658571514</v>
      </c>
      <c r="Q121" s="69">
        <v>0</v>
      </c>
      <c r="R121" s="69">
        <v>0</v>
      </c>
      <c r="S121" s="69">
        <v>0</v>
      </c>
      <c r="T121" s="69">
        <v>0</v>
      </c>
      <c r="U121" s="69">
        <v>0</v>
      </c>
      <c r="V121" s="69">
        <v>0</v>
      </c>
      <c r="W121" s="69">
        <v>0</v>
      </c>
      <c r="X121" s="69">
        <v>0</v>
      </c>
      <c r="Y121" s="69">
        <v>0</v>
      </c>
    </row>
    <row r="122" spans="4:43" x14ac:dyDescent="0.25">
      <c r="E122" s="27"/>
      <c r="F122" s="62" t="s">
        <v>253</v>
      </c>
      <c r="G122" s="62" t="s">
        <v>252</v>
      </c>
      <c r="J122" s="69"/>
      <c r="K122" s="69">
        <v>0</v>
      </c>
      <c r="L122" s="69">
        <v>0</v>
      </c>
      <c r="M122" s="69">
        <v>0</v>
      </c>
      <c r="N122" s="243">
        <v>1.9388600055514318</v>
      </c>
      <c r="O122" s="243">
        <v>0</v>
      </c>
      <c r="P122" s="243">
        <v>0</v>
      </c>
      <c r="Q122" s="69">
        <v>0</v>
      </c>
      <c r="R122" s="69">
        <v>0</v>
      </c>
      <c r="S122" s="69">
        <v>0</v>
      </c>
      <c r="T122" s="69">
        <v>0</v>
      </c>
      <c r="U122" s="69">
        <v>0</v>
      </c>
      <c r="V122" s="69">
        <v>0</v>
      </c>
      <c r="W122" s="69">
        <v>0</v>
      </c>
      <c r="X122" s="69">
        <v>0</v>
      </c>
      <c r="Y122" s="69">
        <v>0</v>
      </c>
    </row>
    <row r="123" spans="4:43" x14ac:dyDescent="0.25">
      <c r="E123" s="27"/>
      <c r="F123" s="70" t="s">
        <v>254</v>
      </c>
      <c r="G123" s="70" t="s">
        <v>255</v>
      </c>
      <c r="H123" s="28"/>
      <c r="I123" s="28"/>
      <c r="J123" s="71"/>
      <c r="K123" s="71">
        <v>0</v>
      </c>
      <c r="L123" s="71">
        <v>0</v>
      </c>
      <c r="M123" s="71">
        <v>0</v>
      </c>
      <c r="N123" s="245">
        <v>12.762222433231312</v>
      </c>
      <c r="O123" s="245">
        <v>0.45989790921274154</v>
      </c>
      <c r="P123" s="245">
        <v>10.79241365374588</v>
      </c>
      <c r="Q123" s="71">
        <v>0</v>
      </c>
      <c r="R123" s="71">
        <v>0</v>
      </c>
      <c r="S123" s="71">
        <v>0</v>
      </c>
      <c r="T123" s="245">
        <v>11.432412652588173</v>
      </c>
      <c r="U123" s="71">
        <v>0</v>
      </c>
      <c r="V123" s="245">
        <v>0</v>
      </c>
      <c r="W123" s="71">
        <v>0</v>
      </c>
      <c r="X123" s="245">
        <v>0</v>
      </c>
      <c r="Y123" s="71">
        <v>0</v>
      </c>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248</v>
      </c>
      <c r="G126" s="68" t="s">
        <v>208</v>
      </c>
      <c r="H126" s="19"/>
      <c r="I126" s="19"/>
      <c r="J126" s="242">
        <v>12729.688281288001</v>
      </c>
      <c r="K126" s="73">
        <v>0</v>
      </c>
      <c r="L126" s="242">
        <v>47.883581224452058</v>
      </c>
      <c r="M126" s="73">
        <v>0</v>
      </c>
      <c r="N126" s="242">
        <v>1787.6714522439731</v>
      </c>
      <c r="O126" s="242">
        <v>36.153416670684742</v>
      </c>
      <c r="P126" s="242">
        <v>106.22353589974244</v>
      </c>
      <c r="Q126" s="242">
        <v>0</v>
      </c>
      <c r="R126" s="73"/>
      <c r="S126" s="73"/>
      <c r="T126" s="73"/>
      <c r="U126" s="73"/>
      <c r="V126" s="73"/>
      <c r="W126" s="73"/>
      <c r="X126" s="73"/>
      <c r="Y126" s="73"/>
    </row>
    <row r="127" spans="4:43" x14ac:dyDescent="0.25">
      <c r="E127" s="27"/>
      <c r="F127" s="62" t="s">
        <v>249</v>
      </c>
      <c r="G127" s="62" t="s">
        <v>208</v>
      </c>
      <c r="J127" s="243">
        <v>64023.44241600002</v>
      </c>
      <c r="K127" s="69">
        <v>0</v>
      </c>
      <c r="L127" s="243">
        <v>382.59880317266413</v>
      </c>
      <c r="M127" s="316">
        <v>0</v>
      </c>
      <c r="N127" s="243">
        <v>11552.027949891526</v>
      </c>
      <c r="O127" s="243">
        <v>219.18882359996172</v>
      </c>
      <c r="P127" s="243">
        <v>689.83423504015673</v>
      </c>
      <c r="Q127" s="244">
        <v>0</v>
      </c>
      <c r="R127" s="69"/>
      <c r="S127" s="69"/>
      <c r="T127" s="69"/>
      <c r="U127" s="69"/>
      <c r="V127" s="69"/>
      <c r="W127" s="69"/>
      <c r="X127" s="69"/>
      <c r="Y127" s="69"/>
    </row>
    <row r="128" spans="4:43" x14ac:dyDescent="0.25">
      <c r="E128" s="27"/>
      <c r="F128" s="62" t="s">
        <v>250</v>
      </c>
      <c r="G128" s="62" t="s">
        <v>208</v>
      </c>
      <c r="J128" s="243">
        <v>64026.581807736024</v>
      </c>
      <c r="K128" s="69">
        <v>0</v>
      </c>
      <c r="L128" s="243">
        <v>289.86360814800224</v>
      </c>
      <c r="M128" s="316">
        <v>0</v>
      </c>
      <c r="N128" s="243">
        <v>11152.802335348573</v>
      </c>
      <c r="O128" s="243">
        <v>263.56990629852692</v>
      </c>
      <c r="P128" s="243">
        <v>795.27889886718299</v>
      </c>
      <c r="Q128" s="244">
        <v>0</v>
      </c>
      <c r="R128" s="69"/>
      <c r="S128" s="69"/>
      <c r="T128" s="69"/>
      <c r="U128" s="69"/>
      <c r="V128" s="69"/>
      <c r="W128" s="69"/>
      <c r="X128" s="69"/>
      <c r="Y128" s="69"/>
    </row>
    <row r="129" spans="5:42" x14ac:dyDescent="0.25">
      <c r="E129" s="27"/>
      <c r="F129" s="62" t="s">
        <v>213</v>
      </c>
      <c r="G129" s="62" t="s">
        <v>213</v>
      </c>
      <c r="J129" s="243">
        <v>47384.722591912338</v>
      </c>
      <c r="K129" s="69">
        <v>0</v>
      </c>
      <c r="L129" s="243">
        <v>545.49302201110834</v>
      </c>
      <c r="M129" s="316">
        <v>0</v>
      </c>
      <c r="N129" s="243">
        <v>185.92133676854928</v>
      </c>
      <c r="O129" s="243">
        <v>2.1372730861053002</v>
      </c>
      <c r="P129" s="243">
        <v>2.8651398562927874</v>
      </c>
      <c r="Q129" s="243">
        <v>0</v>
      </c>
      <c r="R129" s="69"/>
      <c r="S129" s="69"/>
      <c r="T129" s="69"/>
      <c r="U129" s="69"/>
      <c r="V129" s="69"/>
      <c r="W129" s="69"/>
      <c r="X129" s="69"/>
      <c r="Y129" s="69"/>
    </row>
    <row r="130" spans="5:42" x14ac:dyDescent="0.25">
      <c r="E130" s="27"/>
      <c r="F130" s="62" t="s">
        <v>251</v>
      </c>
      <c r="G130" s="62" t="s">
        <v>252</v>
      </c>
      <c r="J130" s="69">
        <v>0</v>
      </c>
      <c r="K130" s="69">
        <v>0</v>
      </c>
      <c r="L130" s="69">
        <v>0</v>
      </c>
      <c r="M130" s="316">
        <v>0</v>
      </c>
      <c r="N130" s="243">
        <v>15926.32331114382</v>
      </c>
      <c r="O130" s="243">
        <v>344.98188512792871</v>
      </c>
      <c r="P130" s="243">
        <v>1263.1685386266458</v>
      </c>
      <c r="Q130" s="69">
        <v>0</v>
      </c>
      <c r="R130" s="69"/>
      <c r="S130" s="69"/>
      <c r="T130" s="69"/>
      <c r="U130" s="69"/>
      <c r="V130" s="69"/>
      <c r="W130" s="69"/>
      <c r="X130" s="69"/>
      <c r="Y130" s="69"/>
    </row>
    <row r="131" spans="5:42" x14ac:dyDescent="0.25">
      <c r="E131" s="27"/>
      <c r="F131" s="62" t="s">
        <v>253</v>
      </c>
      <c r="G131" s="62" t="s">
        <v>252</v>
      </c>
      <c r="J131" s="69">
        <v>0</v>
      </c>
      <c r="K131" s="69">
        <v>0</v>
      </c>
      <c r="L131" s="69">
        <v>0</v>
      </c>
      <c r="M131" s="316">
        <v>0</v>
      </c>
      <c r="N131" s="243">
        <v>104.94253506204127</v>
      </c>
      <c r="O131" s="243">
        <v>0</v>
      </c>
      <c r="P131" s="243">
        <v>0</v>
      </c>
      <c r="Q131" s="69">
        <v>0</v>
      </c>
      <c r="R131" s="69"/>
      <c r="S131" s="69"/>
      <c r="T131" s="69"/>
      <c r="U131" s="69"/>
      <c r="V131" s="69"/>
      <c r="W131" s="69"/>
      <c r="X131" s="69"/>
      <c r="Y131" s="69"/>
    </row>
    <row r="132" spans="5:42" x14ac:dyDescent="0.25">
      <c r="E132" s="27"/>
      <c r="F132" s="70" t="s">
        <v>254</v>
      </c>
      <c r="G132" s="70" t="s">
        <v>255</v>
      </c>
      <c r="H132" s="28"/>
      <c r="I132" s="28"/>
      <c r="J132" s="71">
        <v>0</v>
      </c>
      <c r="K132" s="71">
        <v>0</v>
      </c>
      <c r="L132" s="71">
        <v>0</v>
      </c>
      <c r="M132" s="71">
        <v>0</v>
      </c>
      <c r="N132" s="245">
        <v>798.25451362963304</v>
      </c>
      <c r="O132" s="245">
        <v>10.1581920135517</v>
      </c>
      <c r="P132" s="245">
        <v>44.741365933266394</v>
      </c>
      <c r="Q132" s="71">
        <v>0</v>
      </c>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248</v>
      </c>
      <c r="G135" s="68" t="s">
        <v>208</v>
      </c>
      <c r="H135" s="19"/>
      <c r="I135" s="19"/>
      <c r="J135" s="73"/>
      <c r="K135" s="73"/>
      <c r="L135" s="242">
        <v>191.53506094941929</v>
      </c>
      <c r="M135" s="73">
        <v>0</v>
      </c>
      <c r="N135" s="242">
        <v>2052.7744093051761</v>
      </c>
      <c r="O135" s="242">
        <v>88.7175253574419</v>
      </c>
      <c r="P135" s="242">
        <v>326.81395614084664</v>
      </c>
      <c r="Q135" s="73"/>
      <c r="R135" s="73"/>
      <c r="S135" s="73"/>
      <c r="T135" s="73"/>
      <c r="U135" s="73"/>
      <c r="V135" s="73"/>
      <c r="W135" s="73"/>
      <c r="X135" s="73"/>
      <c r="Y135" s="73"/>
    </row>
    <row r="136" spans="5:42" x14ac:dyDescent="0.25">
      <c r="E136" s="27"/>
      <c r="F136" s="62" t="s">
        <v>249</v>
      </c>
      <c r="G136" s="62" t="s">
        <v>208</v>
      </c>
      <c r="J136" s="69"/>
      <c r="K136" s="69"/>
      <c r="L136" s="325">
        <v>1530.4010938812073</v>
      </c>
      <c r="M136" s="69">
        <v>0</v>
      </c>
      <c r="N136" s="243">
        <v>13265.137350237848</v>
      </c>
      <c r="O136" s="243">
        <v>537.87143253780766</v>
      </c>
      <c r="P136" s="243">
        <v>2122.3870352767544</v>
      </c>
      <c r="Q136" s="69"/>
      <c r="R136" s="69"/>
      <c r="S136" s="69"/>
      <c r="T136" s="69"/>
      <c r="U136" s="69"/>
      <c r="V136" s="69"/>
      <c r="W136" s="69"/>
      <c r="X136" s="69"/>
      <c r="Y136" s="69"/>
    </row>
    <row r="137" spans="5:42" x14ac:dyDescent="0.25">
      <c r="E137" s="27"/>
      <c r="F137" s="62" t="s">
        <v>250</v>
      </c>
      <c r="G137" s="62" t="s">
        <v>208</v>
      </c>
      <c r="J137" s="69"/>
      <c r="K137" s="69"/>
      <c r="L137" s="325">
        <v>1159.4588882858038</v>
      </c>
      <c r="M137" s="69">
        <v>0</v>
      </c>
      <c r="N137" s="243">
        <v>12806.708524267502</v>
      </c>
      <c r="O137" s="243">
        <v>646.77897689428164</v>
      </c>
      <c r="P137" s="243">
        <v>2446.8046650172796</v>
      </c>
      <c r="Q137" s="69"/>
      <c r="R137" s="69"/>
      <c r="S137" s="69"/>
      <c r="T137" s="69"/>
      <c r="U137" s="69"/>
      <c r="V137" s="69"/>
      <c r="W137" s="69"/>
      <c r="X137" s="69"/>
      <c r="Y137" s="69"/>
    </row>
    <row r="138" spans="5:42" x14ac:dyDescent="0.25">
      <c r="E138" s="27"/>
      <c r="F138" s="62" t="s">
        <v>213</v>
      </c>
      <c r="G138" s="62" t="s">
        <v>213</v>
      </c>
      <c r="J138" s="69"/>
      <c r="K138" s="69"/>
      <c r="L138" s="243">
        <v>369.75289177748181</v>
      </c>
      <c r="M138" s="69">
        <v>0</v>
      </c>
      <c r="N138" s="243">
        <v>119.36045595803728</v>
      </c>
      <c r="O138" s="243">
        <v>2.900759682417045</v>
      </c>
      <c r="P138" s="243">
        <v>3.5614308549914604</v>
      </c>
      <c r="Q138" s="69"/>
      <c r="R138" s="69"/>
      <c r="S138" s="69"/>
      <c r="T138" s="69"/>
      <c r="U138" s="69"/>
      <c r="V138" s="69"/>
      <c r="W138" s="69"/>
      <c r="X138" s="69"/>
      <c r="Y138" s="69"/>
    </row>
    <row r="139" spans="5:42" x14ac:dyDescent="0.25">
      <c r="E139" s="27"/>
      <c r="F139" s="62" t="s">
        <v>251</v>
      </c>
      <c r="G139" s="62" t="s">
        <v>252</v>
      </c>
      <c r="J139" s="69"/>
      <c r="K139" s="69"/>
      <c r="L139" s="69">
        <v>0</v>
      </c>
      <c r="M139" s="69">
        <v>0</v>
      </c>
      <c r="N139" s="243">
        <v>25144.691420939856</v>
      </c>
      <c r="O139" s="243">
        <v>984.44697896370167</v>
      </c>
      <c r="P139" s="243">
        <v>4262.2484733268338</v>
      </c>
      <c r="Q139" s="69"/>
      <c r="R139" s="69"/>
      <c r="S139" s="69"/>
      <c r="T139" s="69"/>
      <c r="U139" s="69"/>
      <c r="V139" s="69"/>
      <c r="W139" s="69"/>
      <c r="X139" s="69"/>
      <c r="Y139" s="69"/>
    </row>
    <row r="140" spans="5:42" x14ac:dyDescent="0.25">
      <c r="E140" s="27"/>
      <c r="F140" s="62" t="s">
        <v>253</v>
      </c>
      <c r="G140" s="62" t="s">
        <v>252</v>
      </c>
      <c r="J140" s="69"/>
      <c r="K140" s="69"/>
      <c r="L140" s="69">
        <v>0</v>
      </c>
      <c r="M140" s="69">
        <v>0</v>
      </c>
      <c r="N140" s="243">
        <v>13.836282293564508</v>
      </c>
      <c r="O140" s="243">
        <v>0</v>
      </c>
      <c r="P140" s="243">
        <v>0</v>
      </c>
      <c r="Q140" s="69"/>
      <c r="R140" s="69"/>
      <c r="S140" s="69"/>
      <c r="T140" s="69"/>
      <c r="U140" s="69"/>
      <c r="V140" s="69"/>
      <c r="W140" s="69"/>
      <c r="X140" s="69"/>
      <c r="Y140" s="69"/>
    </row>
    <row r="141" spans="5:42" x14ac:dyDescent="0.25">
      <c r="E141" s="27"/>
      <c r="F141" s="70" t="s">
        <v>254</v>
      </c>
      <c r="G141" s="70" t="s">
        <v>255</v>
      </c>
      <c r="H141" s="28"/>
      <c r="I141" s="28"/>
      <c r="J141" s="71"/>
      <c r="K141" s="71"/>
      <c r="L141" s="71">
        <v>0</v>
      </c>
      <c r="M141" s="71">
        <v>0</v>
      </c>
      <c r="N141" s="245">
        <v>853.18216706825672</v>
      </c>
      <c r="O141" s="245">
        <v>18.237790525480047</v>
      </c>
      <c r="P141" s="245">
        <v>95.327713785052126</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248</v>
      </c>
      <c r="G144" s="68" t="s">
        <v>208</v>
      </c>
      <c r="H144" s="19"/>
      <c r="I144" s="19"/>
      <c r="J144" s="73"/>
      <c r="K144" s="73"/>
      <c r="L144" s="242">
        <v>188.64815258223734</v>
      </c>
      <c r="M144" s="73">
        <v>0</v>
      </c>
      <c r="N144" s="242">
        <v>1025.1502898185418</v>
      </c>
      <c r="O144" s="242">
        <v>90.844554015568988</v>
      </c>
      <c r="P144" s="242">
        <v>223.28298466693087</v>
      </c>
      <c r="Q144" s="73"/>
      <c r="R144" s="73"/>
      <c r="S144" s="73"/>
      <c r="T144" s="73"/>
      <c r="U144" s="73"/>
      <c r="V144" s="73"/>
      <c r="W144" s="73"/>
      <c r="X144" s="73"/>
      <c r="Y144" s="73"/>
    </row>
    <row r="145" spans="5:42" x14ac:dyDescent="0.25">
      <c r="E145" s="27"/>
      <c r="F145" s="62" t="s">
        <v>249</v>
      </c>
      <c r="G145" s="62" t="s">
        <v>208</v>
      </c>
      <c r="J145" s="69"/>
      <c r="K145" s="69"/>
      <c r="L145" s="243">
        <v>1507.3341540678393</v>
      </c>
      <c r="M145" s="69">
        <v>0</v>
      </c>
      <c r="N145" s="243">
        <v>6624.5756657118536</v>
      </c>
      <c r="O145" s="243">
        <v>550.76705768950524</v>
      </c>
      <c r="P145" s="243">
        <v>1450.038784912721</v>
      </c>
      <c r="Q145" s="69"/>
      <c r="R145" s="69"/>
      <c r="S145" s="69"/>
      <c r="T145" s="69"/>
      <c r="U145" s="69"/>
      <c r="V145" s="69"/>
      <c r="W145" s="69"/>
      <c r="X145" s="69"/>
      <c r="Y145" s="69"/>
    </row>
    <row r="146" spans="5:42" x14ac:dyDescent="0.25">
      <c r="E146" s="27"/>
      <c r="F146" s="62" t="s">
        <v>250</v>
      </c>
      <c r="G146" s="62" t="s">
        <v>208</v>
      </c>
      <c r="J146" s="69"/>
      <c r="K146" s="69"/>
      <c r="L146" s="243">
        <v>1141.9829674313989</v>
      </c>
      <c r="M146" s="69">
        <v>0</v>
      </c>
      <c r="N146" s="243">
        <v>6395.6374825026496</v>
      </c>
      <c r="O146" s="243">
        <v>662.28569232379243</v>
      </c>
      <c r="P146" s="243">
        <v>1671.6845723276801</v>
      </c>
      <c r="Q146" s="69"/>
      <c r="R146" s="69"/>
      <c r="S146" s="69"/>
      <c r="T146" s="69"/>
      <c r="U146" s="69"/>
      <c r="V146" s="69"/>
      <c r="W146" s="69"/>
      <c r="X146" s="69"/>
      <c r="Y146" s="69"/>
    </row>
    <row r="147" spans="5:42" x14ac:dyDescent="0.25">
      <c r="E147" s="27"/>
      <c r="F147" s="62" t="s">
        <v>213</v>
      </c>
      <c r="G147" s="62" t="s">
        <v>213</v>
      </c>
      <c r="J147" s="69"/>
      <c r="K147" s="69"/>
      <c r="L147" s="243">
        <v>151.81109449757187</v>
      </c>
      <c r="M147" s="69">
        <v>0</v>
      </c>
      <c r="N147" s="243">
        <v>39.728952238313731</v>
      </c>
      <c r="O147" s="243">
        <v>1.9505202347164174</v>
      </c>
      <c r="P147" s="243">
        <v>1.0974892268007526</v>
      </c>
      <c r="Q147" s="69"/>
      <c r="R147" s="69"/>
      <c r="S147" s="69"/>
      <c r="T147" s="69"/>
      <c r="U147" s="69"/>
      <c r="V147" s="69"/>
      <c r="W147" s="69"/>
      <c r="X147" s="69"/>
      <c r="Y147" s="69"/>
    </row>
    <row r="148" spans="5:42" x14ac:dyDescent="0.25">
      <c r="E148" s="27"/>
      <c r="F148" s="62" t="s">
        <v>251</v>
      </c>
      <c r="G148" s="62" t="s">
        <v>252</v>
      </c>
      <c r="J148" s="69"/>
      <c r="K148" s="69"/>
      <c r="L148" s="69">
        <v>0</v>
      </c>
      <c r="M148" s="69">
        <v>0</v>
      </c>
      <c r="N148" s="243">
        <v>13542.98829458963</v>
      </c>
      <c r="O148" s="243">
        <v>1048.1531688081477</v>
      </c>
      <c r="P148" s="243">
        <v>2612.1373957549358</v>
      </c>
      <c r="Q148" s="69"/>
      <c r="R148" s="69"/>
      <c r="S148" s="69"/>
      <c r="T148" s="69"/>
      <c r="U148" s="69"/>
      <c r="V148" s="69"/>
      <c r="W148" s="69"/>
      <c r="X148" s="69"/>
      <c r="Y148" s="69"/>
    </row>
    <row r="149" spans="5:42" x14ac:dyDescent="0.25">
      <c r="E149" s="27"/>
      <c r="F149" s="62" t="s">
        <v>253</v>
      </c>
      <c r="G149" s="62" t="s">
        <v>252</v>
      </c>
      <c r="J149" s="69"/>
      <c r="K149" s="69"/>
      <c r="L149" s="69">
        <v>0</v>
      </c>
      <c r="M149" s="69">
        <v>0</v>
      </c>
      <c r="N149" s="243">
        <v>3.3179863998287984</v>
      </c>
      <c r="O149" s="243">
        <v>0</v>
      </c>
      <c r="P149" s="243">
        <v>0</v>
      </c>
      <c r="Q149" s="69"/>
      <c r="R149" s="69"/>
      <c r="S149" s="69"/>
      <c r="T149" s="69"/>
      <c r="U149" s="69"/>
      <c r="V149" s="69"/>
      <c r="W149" s="69"/>
      <c r="X149" s="69"/>
      <c r="Y149" s="69"/>
    </row>
    <row r="150" spans="5:42" x14ac:dyDescent="0.25">
      <c r="E150" s="27"/>
      <c r="F150" s="70" t="s">
        <v>254</v>
      </c>
      <c r="G150" s="70" t="s">
        <v>255</v>
      </c>
      <c r="H150" s="28"/>
      <c r="I150" s="28"/>
      <c r="J150" s="71"/>
      <c r="K150" s="71"/>
      <c r="L150" s="71">
        <v>0</v>
      </c>
      <c r="M150" s="71">
        <v>0</v>
      </c>
      <c r="N150" s="245">
        <v>470.30191571840942</v>
      </c>
      <c r="O150" s="245">
        <v>18.124958612219395</v>
      </c>
      <c r="P150" s="245">
        <v>84.013245992628853</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248</v>
      </c>
      <c r="G153" s="68" t="s">
        <v>208</v>
      </c>
      <c r="H153" s="19"/>
      <c r="I153" s="19"/>
      <c r="J153" s="73"/>
      <c r="K153" s="73"/>
      <c r="L153" s="242">
        <v>626.27086598714789</v>
      </c>
      <c r="M153" s="73">
        <v>0</v>
      </c>
      <c r="N153" s="242">
        <v>1216.6337040549236</v>
      </c>
      <c r="O153" s="242">
        <v>375.06905234416575</v>
      </c>
      <c r="P153" s="242">
        <v>595.74260220887334</v>
      </c>
      <c r="Q153" s="73"/>
      <c r="R153" s="73"/>
      <c r="S153" s="73"/>
      <c r="T153" s="73"/>
      <c r="U153" s="73"/>
      <c r="V153" s="73"/>
      <c r="W153" s="73"/>
      <c r="X153" s="73"/>
      <c r="Y153" s="73"/>
    </row>
    <row r="154" spans="5:42" x14ac:dyDescent="0.25">
      <c r="E154" s="27"/>
      <c r="F154" s="62" t="s">
        <v>249</v>
      </c>
      <c r="G154" s="62" t="s">
        <v>208</v>
      </c>
      <c r="J154" s="69"/>
      <c r="K154" s="69"/>
      <c r="L154" s="243">
        <v>5004.0217891270022</v>
      </c>
      <c r="M154" s="69">
        <v>0</v>
      </c>
      <c r="N154" s="243">
        <v>7861.9516670026378</v>
      </c>
      <c r="O154" s="243">
        <v>2273.9467503421743</v>
      </c>
      <c r="P154" s="243">
        <v>3868.8567349468817</v>
      </c>
      <c r="Q154" s="69"/>
      <c r="R154" s="69"/>
      <c r="S154" s="69"/>
      <c r="T154" s="69"/>
      <c r="U154" s="69"/>
      <c r="V154" s="69"/>
      <c r="W154" s="69"/>
      <c r="X154" s="69"/>
      <c r="Y154" s="69"/>
    </row>
    <row r="155" spans="5:42" x14ac:dyDescent="0.25">
      <c r="E155" s="27"/>
      <c r="F155" s="62" t="s">
        <v>250</v>
      </c>
      <c r="G155" s="62" t="s">
        <v>208</v>
      </c>
      <c r="J155" s="69"/>
      <c r="K155" s="69"/>
      <c r="L155" s="243">
        <v>3791.1352545266104</v>
      </c>
      <c r="M155" s="69">
        <v>0</v>
      </c>
      <c r="N155" s="243">
        <v>7590.2511050423809</v>
      </c>
      <c r="O155" s="243">
        <v>2734.3726841172361</v>
      </c>
      <c r="P155" s="243">
        <v>4460.2311218496325</v>
      </c>
      <c r="Q155" s="69"/>
      <c r="R155" s="69"/>
      <c r="S155" s="69"/>
      <c r="T155" s="69"/>
      <c r="U155" s="69"/>
      <c r="V155" s="69"/>
      <c r="W155" s="69"/>
      <c r="X155" s="69"/>
      <c r="Y155" s="69"/>
    </row>
    <row r="156" spans="5:42" x14ac:dyDescent="0.25">
      <c r="E156" s="27"/>
      <c r="F156" s="62" t="s">
        <v>213</v>
      </c>
      <c r="G156" s="62" t="s">
        <v>213</v>
      </c>
      <c r="J156" s="69"/>
      <c r="K156" s="69"/>
      <c r="L156" s="243">
        <v>154.52855408852255</v>
      </c>
      <c r="M156" s="69">
        <v>0</v>
      </c>
      <c r="N156" s="243">
        <v>25.990181136923411</v>
      </c>
      <c r="O156" s="243">
        <v>3.7352243472178319</v>
      </c>
      <c r="P156" s="243">
        <v>1.1581524752394343</v>
      </c>
      <c r="Q156" s="69"/>
      <c r="R156" s="69"/>
      <c r="S156" s="69"/>
      <c r="T156" s="69"/>
      <c r="U156" s="69"/>
      <c r="V156" s="69"/>
      <c r="W156" s="69"/>
      <c r="X156" s="69"/>
      <c r="Y156" s="69"/>
    </row>
    <row r="157" spans="5:42" x14ac:dyDescent="0.25">
      <c r="E157" s="27"/>
      <c r="F157" s="62" t="s">
        <v>251</v>
      </c>
      <c r="G157" s="62" t="s">
        <v>252</v>
      </c>
      <c r="J157" s="69"/>
      <c r="K157" s="69"/>
      <c r="L157" s="69">
        <v>0</v>
      </c>
      <c r="M157" s="69">
        <v>0</v>
      </c>
      <c r="N157" s="243">
        <v>16430.485303664613</v>
      </c>
      <c r="O157" s="243">
        <v>4202.3323422825024</v>
      </c>
      <c r="P157" s="243">
        <v>6606.5369570757421</v>
      </c>
      <c r="Q157" s="69"/>
      <c r="R157" s="69"/>
      <c r="S157" s="69"/>
      <c r="T157" s="69"/>
      <c r="U157" s="69"/>
      <c r="V157" s="69"/>
      <c r="W157" s="69"/>
      <c r="X157" s="69"/>
      <c r="Y157" s="69"/>
    </row>
    <row r="158" spans="5:42" x14ac:dyDescent="0.25">
      <c r="E158" s="27"/>
      <c r="F158" s="62" t="s">
        <v>253</v>
      </c>
      <c r="G158" s="62" t="s">
        <v>252</v>
      </c>
      <c r="J158" s="69"/>
      <c r="K158" s="69"/>
      <c r="L158" s="69">
        <v>0</v>
      </c>
      <c r="M158" s="69">
        <v>0</v>
      </c>
      <c r="N158" s="243">
        <v>0.66296637600027664</v>
      </c>
      <c r="O158" s="243">
        <v>0</v>
      </c>
      <c r="P158" s="243">
        <v>0</v>
      </c>
      <c r="Q158" s="69"/>
      <c r="R158" s="69"/>
      <c r="S158" s="69"/>
      <c r="T158" s="69"/>
      <c r="U158" s="69"/>
      <c r="V158" s="69"/>
      <c r="W158" s="69"/>
      <c r="X158" s="69"/>
      <c r="Y158" s="69"/>
    </row>
    <row r="159" spans="5:42" x14ac:dyDescent="0.25">
      <c r="E159" s="27"/>
      <c r="F159" s="70" t="s">
        <v>254</v>
      </c>
      <c r="G159" s="70" t="s">
        <v>255</v>
      </c>
      <c r="H159" s="28"/>
      <c r="I159" s="28"/>
      <c r="J159" s="71"/>
      <c r="K159" s="71"/>
      <c r="L159" s="71">
        <v>0</v>
      </c>
      <c r="M159" s="71">
        <v>0</v>
      </c>
      <c r="N159" s="245">
        <v>598.91518115046983</v>
      </c>
      <c r="O159" s="245">
        <v>73.565160939536113</v>
      </c>
      <c r="P159" s="245">
        <v>173.60026063530671</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213</v>
      </c>
      <c r="I161" t="s">
        <v>155</v>
      </c>
      <c r="J161" s="312">
        <v>5177.0942449972599</v>
      </c>
      <c r="K161" s="312">
        <v>0</v>
      </c>
      <c r="L161" s="312">
        <v>46.358774882191781</v>
      </c>
      <c r="M161" s="312">
        <v>0</v>
      </c>
      <c r="N161" s="312">
        <v>8.3140944657534259</v>
      </c>
      <c r="O161" s="312">
        <v>0</v>
      </c>
      <c r="P161" s="312">
        <v>0.93533562739726062</v>
      </c>
      <c r="Q161" s="312">
        <v>0</v>
      </c>
      <c r="R161" s="312">
        <v>0</v>
      </c>
      <c r="S161" s="312">
        <v>0</v>
      </c>
      <c r="T161" s="312">
        <v>0</v>
      </c>
      <c r="U161" s="312">
        <v>0</v>
      </c>
      <c r="V161" s="312">
        <v>0</v>
      </c>
      <c r="W161" s="312">
        <v>0</v>
      </c>
      <c r="X161" s="312">
        <v>0</v>
      </c>
      <c r="Y161" s="312">
        <v>0</v>
      </c>
      <c r="AQ161" t="s">
        <v>901</v>
      </c>
    </row>
    <row r="162" spans="3:43" x14ac:dyDescent="0.25">
      <c r="G162" s="12"/>
    </row>
    <row r="163" spans="3:43" x14ac:dyDescent="0.25">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155</v>
      </c>
      <c r="AQ165" t="s">
        <v>1138</v>
      </c>
    </row>
    <row r="166" spans="3:43" x14ac:dyDescent="0.25">
      <c r="D166" s="24" t="s">
        <v>1127</v>
      </c>
      <c r="G166" s="12"/>
    </row>
    <row r="167" spans="3:43" x14ac:dyDescent="0.25">
      <c r="G167" s="12"/>
    </row>
    <row r="168" spans="3:43" x14ac:dyDescent="0.25">
      <c r="E168" s="27" t="s">
        <v>987</v>
      </c>
      <c r="G168" s="12"/>
      <c r="J168" s="288" t="s">
        <v>978</v>
      </c>
      <c r="K168" s="288" t="s">
        <v>983</v>
      </c>
      <c r="L168" s="288" t="s">
        <v>984</v>
      </c>
      <c r="M168" s="288" t="s">
        <v>985</v>
      </c>
      <c r="N168" s="288" t="s">
        <v>986</v>
      </c>
    </row>
    <row r="169" spans="3:43" x14ac:dyDescent="0.25">
      <c r="E169" s="27"/>
      <c r="F169" s="68" t="s">
        <v>248</v>
      </c>
      <c r="G169" s="68" t="s">
        <v>168</v>
      </c>
      <c r="H169" s="394"/>
      <c r="I169" s="19"/>
      <c r="J169" s="246">
        <f>L23/SUM(L32,L41,L50,L59,L23)</f>
        <v>1.7017310565745917E-5</v>
      </c>
      <c r="K169" s="246">
        <f>L32/SUM(L32,L41,L50,L59,L23)</f>
        <v>4.5415020403353837E-2</v>
      </c>
      <c r="L169" s="246">
        <f>L41/SUM(L32,L41,L50,L59,L23)</f>
        <v>0.18166077971907243</v>
      </c>
      <c r="M169" s="246">
        <f>L50/SUM(L32,L41,L50,L59,L23)</f>
        <v>0.17892270125782256</v>
      </c>
      <c r="N169" s="246">
        <f>L59/SUM(L32,L41,L50,L59,L23)</f>
        <v>0.59398448130918535</v>
      </c>
    </row>
    <row r="170" spans="3:43" x14ac:dyDescent="0.25">
      <c r="E170" s="27"/>
      <c r="F170" s="336" t="s">
        <v>249</v>
      </c>
      <c r="G170" s="336" t="s">
        <v>168</v>
      </c>
      <c r="H170" s="395"/>
      <c r="J170" s="350">
        <f>L24/SUM(L33,L42,L51,L60,L24)</f>
        <v>1.7017310565745921E-5</v>
      </c>
      <c r="K170" s="350">
        <f>L33/SUM(L33,L42,L51,L60,L24)</f>
        <v>4.5415020403353851E-2</v>
      </c>
      <c r="L170" s="350">
        <f>L42/SUM(L33,L42,L51,L60,L24)</f>
        <v>0.18166077971907241</v>
      </c>
      <c r="M170" s="350">
        <f>L51/SUM(L33,L42,L51,L60,L24)</f>
        <v>0.17892270125782256</v>
      </c>
      <c r="N170" s="350">
        <f>L60/SUM(L33,L42,L51,L60,L24)</f>
        <v>0.59398448130918546</v>
      </c>
    </row>
    <row r="171" spans="3:43" x14ac:dyDescent="0.25">
      <c r="E171" s="27"/>
      <c r="F171" s="70" t="s">
        <v>250</v>
      </c>
      <c r="G171" s="70" t="s">
        <v>168</v>
      </c>
      <c r="H171" s="396"/>
      <c r="I171" s="28"/>
      <c r="J171" s="247">
        <f>L25/SUM(L34,L43,L52,L61,L25)</f>
        <v>1.7017310565745921E-5</v>
      </c>
      <c r="K171" s="247">
        <f>L34/SUM(L34,L43,L52,L61,L25)</f>
        <v>4.5415020403353844E-2</v>
      </c>
      <c r="L171" s="247">
        <f>L43/SUM(L34,L43,L52,L61,L25)</f>
        <v>0.18166077971907238</v>
      </c>
      <c r="M171" s="247">
        <f>L52/SUM(L34,L43,L52,L61,L25)</f>
        <v>0.17892270125782259</v>
      </c>
      <c r="N171" s="247">
        <f>L61/SUM(L34,L43,L52,L61,L25)</f>
        <v>0.59398448130918546</v>
      </c>
    </row>
    <row r="172" spans="3:43" x14ac:dyDescent="0.25">
      <c r="E172" s="250"/>
      <c r="F172" s="225"/>
      <c r="G172" s="225"/>
      <c r="H172" s="249"/>
      <c r="I172" s="249"/>
      <c r="J172" s="251"/>
      <c r="K172" s="251"/>
      <c r="L172" s="251"/>
      <c r="M172" s="251"/>
      <c r="N172" s="251"/>
    </row>
    <row r="173" spans="3:43" x14ac:dyDescent="0.25">
      <c r="E173" s="27" t="s">
        <v>988</v>
      </c>
      <c r="G173" s="12"/>
      <c r="J173" s="288" t="s">
        <v>978</v>
      </c>
      <c r="K173" s="288" t="s">
        <v>983</v>
      </c>
      <c r="L173" s="288" t="s">
        <v>984</v>
      </c>
      <c r="M173" s="288" t="s">
        <v>985</v>
      </c>
      <c r="N173" s="288" t="s">
        <v>986</v>
      </c>
    </row>
    <row r="174" spans="3:43" x14ac:dyDescent="0.25">
      <c r="E174" s="27"/>
      <c r="F174" s="68" t="s">
        <v>248</v>
      </c>
      <c r="G174" s="68" t="s">
        <v>168</v>
      </c>
      <c r="H174" s="394"/>
      <c r="I174" s="19"/>
      <c r="J174" s="246">
        <f>J169</f>
        <v>1.7017310565745917E-5</v>
      </c>
      <c r="K174" s="246">
        <f t="shared" ref="K174:N176" si="0">K169</f>
        <v>4.5415020403353837E-2</v>
      </c>
      <c r="L174" s="246">
        <f t="shared" si="0"/>
        <v>0.18166077971907243</v>
      </c>
      <c r="M174" s="246">
        <f t="shared" si="0"/>
        <v>0.17892270125782256</v>
      </c>
      <c r="N174" s="246">
        <f t="shared" si="0"/>
        <v>0.59398448130918535</v>
      </c>
    </row>
    <row r="175" spans="3:43" x14ac:dyDescent="0.25">
      <c r="E175" s="27"/>
      <c r="F175" s="336" t="s">
        <v>249</v>
      </c>
      <c r="G175" s="336" t="s">
        <v>168</v>
      </c>
      <c r="H175" s="395"/>
      <c r="J175" s="350">
        <f>J170</f>
        <v>1.7017310565745921E-5</v>
      </c>
      <c r="K175" s="350">
        <f t="shared" si="0"/>
        <v>4.5415020403353851E-2</v>
      </c>
      <c r="L175" s="350">
        <f t="shared" si="0"/>
        <v>0.18166077971907241</v>
      </c>
      <c r="M175" s="350">
        <f t="shared" si="0"/>
        <v>0.17892270125782256</v>
      </c>
      <c r="N175" s="350">
        <f t="shared" si="0"/>
        <v>0.59398448130918546</v>
      </c>
    </row>
    <row r="176" spans="3:43" x14ac:dyDescent="0.25">
      <c r="E176" s="27"/>
      <c r="F176" s="70" t="s">
        <v>250</v>
      </c>
      <c r="G176" s="70" t="s">
        <v>168</v>
      </c>
      <c r="H176" s="396"/>
      <c r="I176" s="28"/>
      <c r="J176" s="247">
        <f>J171</f>
        <v>1.7017310565745921E-5</v>
      </c>
      <c r="K176" s="247">
        <f t="shared" si="0"/>
        <v>4.5415020403353844E-2</v>
      </c>
      <c r="L176" s="247">
        <f t="shared" si="0"/>
        <v>0.18166077971907238</v>
      </c>
      <c r="M176" s="247">
        <f t="shared" si="0"/>
        <v>0.17892270125782259</v>
      </c>
      <c r="N176" s="247">
        <f t="shared" si="0"/>
        <v>0.59398448130918546</v>
      </c>
    </row>
    <row r="177" spans="3:43" x14ac:dyDescent="0.25">
      <c r="E177" s="250"/>
      <c r="F177" s="225"/>
      <c r="G177" s="225"/>
      <c r="H177" s="249"/>
      <c r="I177" s="249"/>
      <c r="J177" s="251"/>
      <c r="K177" s="251"/>
      <c r="L177" s="251"/>
      <c r="M177" s="251"/>
      <c r="N177" s="251"/>
    </row>
    <row r="178" spans="3:43" x14ac:dyDescent="0.25">
      <c r="E178" s="27" t="s">
        <v>989</v>
      </c>
      <c r="G178" s="12"/>
      <c r="J178" s="288" t="s">
        <v>978</v>
      </c>
      <c r="K178" s="288" t="s">
        <v>983</v>
      </c>
      <c r="L178" s="288" t="s">
        <v>984</v>
      </c>
      <c r="M178" s="288" t="s">
        <v>985</v>
      </c>
      <c r="N178" s="288" t="s">
        <v>986</v>
      </c>
    </row>
    <row r="179" spans="3:43" x14ac:dyDescent="0.25">
      <c r="E179" s="27"/>
      <c r="F179" s="68" t="s">
        <v>248</v>
      </c>
      <c r="G179" s="68" t="s">
        <v>168</v>
      </c>
      <c r="H179" s="394"/>
      <c r="I179" s="19"/>
      <c r="J179" s="246">
        <f>J174</f>
        <v>1.7017310565745917E-5</v>
      </c>
      <c r="K179" s="246">
        <f t="shared" ref="K179:N181" si="1">K174</f>
        <v>4.5415020403353837E-2</v>
      </c>
      <c r="L179" s="246">
        <f t="shared" si="1"/>
        <v>0.18166077971907243</v>
      </c>
      <c r="M179" s="246">
        <f t="shared" si="1"/>
        <v>0.17892270125782256</v>
      </c>
      <c r="N179" s="246">
        <f t="shared" si="1"/>
        <v>0.59398448130918535</v>
      </c>
    </row>
    <row r="180" spans="3:43" x14ac:dyDescent="0.25">
      <c r="E180" s="27"/>
      <c r="F180" s="336" t="s">
        <v>249</v>
      </c>
      <c r="G180" s="336" t="s">
        <v>168</v>
      </c>
      <c r="H180" s="395"/>
      <c r="J180" s="350">
        <f>J175</f>
        <v>1.7017310565745921E-5</v>
      </c>
      <c r="K180" s="350">
        <f t="shared" si="1"/>
        <v>4.5415020403353851E-2</v>
      </c>
      <c r="L180" s="350">
        <f t="shared" si="1"/>
        <v>0.18166077971907241</v>
      </c>
      <c r="M180" s="350">
        <f t="shared" si="1"/>
        <v>0.17892270125782256</v>
      </c>
      <c r="N180" s="350">
        <f t="shared" si="1"/>
        <v>0.59398448130918546</v>
      </c>
    </row>
    <row r="181" spans="3:43" x14ac:dyDescent="0.25">
      <c r="E181" s="27"/>
      <c r="F181" s="70" t="s">
        <v>250</v>
      </c>
      <c r="G181" s="70" t="s">
        <v>168</v>
      </c>
      <c r="H181" s="396"/>
      <c r="I181" s="28"/>
      <c r="J181" s="247">
        <f>J176</f>
        <v>1.7017310565745921E-5</v>
      </c>
      <c r="K181" s="247">
        <f t="shared" si="1"/>
        <v>4.5415020403353844E-2</v>
      </c>
      <c r="L181" s="247">
        <f t="shared" si="1"/>
        <v>0.18166077971907238</v>
      </c>
      <c r="M181" s="247">
        <f t="shared" si="1"/>
        <v>0.17892270125782259</v>
      </c>
      <c r="N181" s="247">
        <f t="shared" si="1"/>
        <v>0.59398448130918546</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259</v>
      </c>
      <c r="H185" s="53"/>
    </row>
    <row r="186" spans="3:43" x14ac:dyDescent="0.25">
      <c r="G186" s="12"/>
      <c r="I186" t="s">
        <v>155</v>
      </c>
      <c r="AQ186" t="s">
        <v>260</v>
      </c>
    </row>
    <row r="187" spans="3:43" x14ac:dyDescent="0.25">
      <c r="D187" s="78"/>
      <c r="E187" t="s">
        <v>261</v>
      </c>
      <c r="G187" t="s">
        <v>262</v>
      </c>
      <c r="H187" s="41"/>
      <c r="J187" s="243">
        <v>253.94376042356078</v>
      </c>
      <c r="K187" s="69"/>
      <c r="L187" s="243">
        <v>744.59771283887403</v>
      </c>
      <c r="M187" s="69"/>
      <c r="N187" s="243">
        <v>1485.574945951194</v>
      </c>
      <c r="O187" s="243">
        <v>1159.6508907892558</v>
      </c>
      <c r="P187" s="69"/>
      <c r="Q187" s="69"/>
      <c r="R187" s="243">
        <v>0</v>
      </c>
      <c r="S187" s="243">
        <v>0</v>
      </c>
      <c r="T187" s="243">
        <v>0</v>
      </c>
      <c r="U187" s="243">
        <v>0</v>
      </c>
      <c r="V187" s="243">
        <v>0</v>
      </c>
      <c r="W187" s="243">
        <v>0</v>
      </c>
      <c r="X187" s="69"/>
      <c r="Y187" s="69"/>
    </row>
    <row r="188" spans="3:43" x14ac:dyDescent="0.25">
      <c r="D188" s="78"/>
      <c r="E188" t="s">
        <v>263</v>
      </c>
      <c r="G188" t="s">
        <v>262</v>
      </c>
      <c r="H188" s="41"/>
      <c r="J188" s="69"/>
      <c r="K188" s="69"/>
      <c r="L188" s="69"/>
      <c r="M188" s="69"/>
      <c r="N188" s="69"/>
      <c r="O188" s="69"/>
      <c r="P188" s="243">
        <v>10705.70643318938</v>
      </c>
      <c r="Q188" s="69"/>
      <c r="R188" s="69"/>
      <c r="S188" s="69"/>
      <c r="T188" s="69"/>
      <c r="U188" s="69"/>
      <c r="V188" s="69"/>
      <c r="W188" s="69"/>
      <c r="X188" s="243">
        <v>6700.0880416230875</v>
      </c>
      <c r="Y188" s="243">
        <v>6700.0880416230875</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264</v>
      </c>
      <c r="G190" t="s">
        <v>265</v>
      </c>
      <c r="I190" t="s">
        <v>155</v>
      </c>
      <c r="J190" s="69"/>
      <c r="K190" s="69"/>
      <c r="L190" s="69"/>
      <c r="M190" s="69"/>
      <c r="N190" s="69"/>
      <c r="O190" s="69"/>
      <c r="P190" s="69"/>
      <c r="Q190" s="243">
        <v>287.06730475432011</v>
      </c>
      <c r="R190" s="69"/>
      <c r="S190" s="69"/>
      <c r="T190" s="69"/>
      <c r="U190" s="69"/>
      <c r="V190" s="69"/>
      <c r="W190" s="69"/>
      <c r="X190" s="69"/>
      <c r="Y190" s="69"/>
      <c r="AQ190" t="s">
        <v>266</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267</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268</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269</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157</v>
      </c>
      <c r="G198" s="19" t="s">
        <v>270</v>
      </c>
      <c r="H198" s="19"/>
      <c r="I198" s="19"/>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25">
      <c r="D199" s="27"/>
      <c r="F199" t="s">
        <v>158</v>
      </c>
      <c r="G199" t="s">
        <v>270</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25">
      <c r="D200" s="27"/>
      <c r="F200" t="s">
        <v>159</v>
      </c>
      <c r="G200" t="s">
        <v>270</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25">
      <c r="D201" s="27"/>
      <c r="F201" t="s">
        <v>160</v>
      </c>
      <c r="G201" t="s">
        <v>271</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25">
      <c r="D202" s="27"/>
      <c r="F202" t="s">
        <v>161</v>
      </c>
      <c r="G202" t="s">
        <v>272</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25">
      <c r="D203" s="370"/>
      <c r="F203" t="s">
        <v>162</v>
      </c>
      <c r="G203" t="s">
        <v>272</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25">
      <c r="D204" s="370"/>
      <c r="F204" s="28" t="s">
        <v>163</v>
      </c>
      <c r="G204" s="28" t="s">
        <v>273</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274</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25">
      <c r="D209" s="81" t="s">
        <v>275</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25">
      <c r="D210" s="24" t="s">
        <v>276</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60" x14ac:dyDescent="0.25">
      <c r="J212" s="374" t="s">
        <v>908</v>
      </c>
      <c r="K212" s="374" t="s">
        <v>829</v>
      </c>
      <c r="L212" s="374" t="s">
        <v>909</v>
      </c>
      <c r="M212" s="374" t="s">
        <v>910</v>
      </c>
      <c r="N212" s="374" t="s">
        <v>911</v>
      </c>
      <c r="O212" s="374" t="s">
        <v>912</v>
      </c>
      <c r="P212" s="374" t="s">
        <v>913</v>
      </c>
      <c r="Q212" s="374" t="s">
        <v>830</v>
      </c>
      <c r="R212" s="374" t="s">
        <v>914</v>
      </c>
      <c r="S212" s="374" t="s">
        <v>915</v>
      </c>
      <c r="T212" s="374" t="s">
        <v>916</v>
      </c>
      <c r="U212" s="374" t="s">
        <v>917</v>
      </c>
      <c r="V212" s="374" t="s">
        <v>918</v>
      </c>
      <c r="W212" s="374" t="s">
        <v>919</v>
      </c>
      <c r="X212" s="374" t="s">
        <v>920</v>
      </c>
      <c r="Y212" s="374" t="s">
        <v>921</v>
      </c>
      <c r="Z212" s="374" t="s">
        <v>922</v>
      </c>
      <c r="AA212" s="374" t="s">
        <v>923</v>
      </c>
      <c r="AB212" s="374" t="s">
        <v>924</v>
      </c>
      <c r="AC212" s="374" t="s">
        <v>925</v>
      </c>
      <c r="AD212" s="374" t="s">
        <v>926</v>
      </c>
      <c r="AE212" s="374" t="s">
        <v>927</v>
      </c>
      <c r="AF212" s="374" t="s">
        <v>928</v>
      </c>
      <c r="AG212" s="374" t="s">
        <v>839</v>
      </c>
      <c r="AH212" s="374" t="s">
        <v>831</v>
      </c>
      <c r="AI212" s="374" t="s">
        <v>832</v>
      </c>
      <c r="AJ212" s="374" t="s">
        <v>833</v>
      </c>
      <c r="AK212" s="374" t="s">
        <v>842</v>
      </c>
      <c r="AL212" s="374" t="s">
        <v>834</v>
      </c>
      <c r="AM212" s="374" t="s">
        <v>841</v>
      </c>
      <c r="AN212" s="374" t="s">
        <v>835</v>
      </c>
      <c r="AO212" s="374" t="s">
        <v>840</v>
      </c>
    </row>
    <row r="213" spans="2:43" x14ac:dyDescent="0.25">
      <c r="E213" s="23" t="s">
        <v>277</v>
      </c>
      <c r="G213" t="s">
        <v>278</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25">
      <c r="G214" s="12"/>
    </row>
    <row r="215" spans="2:43" x14ac:dyDescent="0.25">
      <c r="B215" s="25" t="s">
        <v>232</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25">
      <c r="G216" s="12"/>
    </row>
    <row r="217" spans="2:43" x14ac:dyDescent="0.25">
      <c r="E217" s="27" t="s">
        <v>1113</v>
      </c>
      <c r="G217" s="12"/>
    </row>
    <row r="218" spans="2:43" x14ac:dyDescent="0.25">
      <c r="E218" s="27"/>
      <c r="F218" s="68" t="s">
        <v>248</v>
      </c>
      <c r="G218" s="68" t="s">
        <v>210</v>
      </c>
      <c r="H218" s="394" t="b">
        <f>SUM(J169:N169)=1</f>
        <v>1</v>
      </c>
    </row>
    <row r="219" spans="2:43" x14ac:dyDescent="0.25">
      <c r="E219" s="27"/>
      <c r="F219" s="336" t="s">
        <v>249</v>
      </c>
      <c r="G219" s="336" t="s">
        <v>210</v>
      </c>
      <c r="H219" s="395" t="b">
        <f t="shared" ref="H219:H220" si="2">SUM(J170:N170)=1</f>
        <v>1</v>
      </c>
    </row>
    <row r="220" spans="2:43" x14ac:dyDescent="0.25">
      <c r="E220" s="27"/>
      <c r="F220" s="70" t="s">
        <v>250</v>
      </c>
      <c r="G220" s="70" t="s">
        <v>210</v>
      </c>
      <c r="H220" s="396" t="b">
        <f t="shared" si="2"/>
        <v>1</v>
      </c>
    </row>
    <row r="221" spans="2:43" x14ac:dyDescent="0.25">
      <c r="E221" s="250"/>
      <c r="F221" s="225"/>
      <c r="G221" s="225"/>
      <c r="H221" s="249"/>
    </row>
    <row r="222" spans="2:43" x14ac:dyDescent="0.25">
      <c r="E222" s="27" t="s">
        <v>1114</v>
      </c>
      <c r="G222" s="12"/>
    </row>
    <row r="223" spans="2:43" x14ac:dyDescent="0.25">
      <c r="E223" s="27"/>
      <c r="F223" s="68" t="s">
        <v>248</v>
      </c>
      <c r="G223" s="68" t="s">
        <v>210</v>
      </c>
      <c r="H223" s="394" t="b">
        <f>SUM(J174:N174)=1</f>
        <v>1</v>
      </c>
    </row>
    <row r="224" spans="2:43" x14ac:dyDescent="0.25">
      <c r="E224" s="27"/>
      <c r="F224" s="336" t="s">
        <v>249</v>
      </c>
      <c r="G224" s="336" t="s">
        <v>210</v>
      </c>
      <c r="H224" s="395" t="b">
        <f t="shared" ref="H224:H225" si="3">SUM(J175:N175)=1</f>
        <v>1</v>
      </c>
    </row>
    <row r="225" spans="2:43" x14ac:dyDescent="0.25">
      <c r="E225" s="27"/>
      <c r="F225" s="70" t="s">
        <v>250</v>
      </c>
      <c r="G225" s="70" t="s">
        <v>210</v>
      </c>
      <c r="H225" s="396" t="b">
        <f t="shared" si="3"/>
        <v>1</v>
      </c>
    </row>
    <row r="226" spans="2:43" x14ac:dyDescent="0.25">
      <c r="E226" s="250"/>
      <c r="F226" s="225"/>
      <c r="G226" s="225"/>
      <c r="H226" s="249"/>
    </row>
    <row r="227" spans="2:43" x14ac:dyDescent="0.25">
      <c r="E227" s="27" t="s">
        <v>1115</v>
      </c>
      <c r="G227" s="12"/>
    </row>
    <row r="228" spans="2:43" x14ac:dyDescent="0.25">
      <c r="E228" s="27"/>
      <c r="F228" s="68" t="s">
        <v>248</v>
      </c>
      <c r="G228" s="68" t="s">
        <v>210</v>
      </c>
      <c r="H228" s="394" t="b">
        <f>SUM(J179:N179)=1</f>
        <v>1</v>
      </c>
    </row>
    <row r="229" spans="2:43" x14ac:dyDescent="0.25">
      <c r="E229" s="27"/>
      <c r="F229" s="336" t="s">
        <v>249</v>
      </c>
      <c r="G229" s="336" t="s">
        <v>210</v>
      </c>
      <c r="H229" s="395" t="b">
        <f t="shared" ref="H229:H230" si="4">SUM(J180:N180)=1</f>
        <v>1</v>
      </c>
    </row>
    <row r="230" spans="2:43" x14ac:dyDescent="0.25">
      <c r="E230" s="27"/>
      <c r="F230" s="70" t="s">
        <v>250</v>
      </c>
      <c r="G230" s="70" t="s">
        <v>210</v>
      </c>
      <c r="H230" s="396" t="b">
        <f t="shared" si="4"/>
        <v>1</v>
      </c>
    </row>
    <row r="231" spans="2:43" x14ac:dyDescent="0.25">
      <c r="G231" s="12"/>
    </row>
    <row r="232" spans="2:43" x14ac:dyDescent="0.25">
      <c r="E232" t="s">
        <v>1116</v>
      </c>
      <c r="G232" s="6" t="s">
        <v>56</v>
      </c>
      <c r="H232" s="20">
        <f>COUNTIF(H218:H230,FALSE)</f>
        <v>0</v>
      </c>
    </row>
    <row r="233" spans="2:43" x14ac:dyDescent="0.25">
      <c r="G233" s="12"/>
    </row>
    <row r="234" spans="2:43" x14ac:dyDescent="0.25">
      <c r="E234" t="s">
        <v>233</v>
      </c>
      <c r="G234" s="6" t="s">
        <v>56</v>
      </c>
      <c r="H234" s="20">
        <f t="array" ref="H234">SUM(IF(ISERROR(H13:Y214), 1))</f>
        <v>0</v>
      </c>
    </row>
    <row r="235" spans="2:43" x14ac:dyDescent="0.25">
      <c r="G235" s="12"/>
    </row>
    <row r="236" spans="2:43" x14ac:dyDescent="0.25">
      <c r="E236" t="s">
        <v>240</v>
      </c>
      <c r="G236" s="6" t="s">
        <v>56</v>
      </c>
      <c r="H236" s="93">
        <f xml:space="preserve"> H232 + H234</f>
        <v>0</v>
      </c>
    </row>
    <row r="238" spans="2:43" x14ac:dyDescent="0.25">
      <c r="B238" s="25" t="s">
        <v>107</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70" zoomScaleNormal="70" workbookViewId="0">
      <pane xSplit="9" ySplit="5" topLeftCell="K6" activePane="bottomRight" state="frozen"/>
      <selection pane="topRight"/>
      <selection pane="bottomLeft"/>
      <selection pane="bottomRight" activeCell="P47" sqref="P47"/>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 t="s">
        <v>144</v>
      </c>
      <c r="H5" s="83" t="s">
        <v>145</v>
      </c>
      <c r="I5" s="13"/>
      <c r="J5" s="83" t="s">
        <v>190</v>
      </c>
      <c r="K5" s="83" t="s">
        <v>192</v>
      </c>
      <c r="L5" s="83" t="s">
        <v>193</v>
      </c>
      <c r="M5" s="83" t="s">
        <v>194</v>
      </c>
      <c r="N5" s="83" t="s">
        <v>195</v>
      </c>
      <c r="O5" s="83" t="s">
        <v>196</v>
      </c>
      <c r="P5" s="83" t="s">
        <v>197</v>
      </c>
      <c r="Q5" s="83" t="s">
        <v>198</v>
      </c>
      <c r="R5" s="83" t="s">
        <v>199</v>
      </c>
      <c r="S5" s="83" t="s">
        <v>200</v>
      </c>
      <c r="U5" s="51" t="s">
        <v>146</v>
      </c>
    </row>
    <row r="7" spans="1:27" x14ac:dyDescent="0.25">
      <c r="B7" s="25" t="s">
        <v>11</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279</v>
      </c>
    </row>
    <row r="11" spans="1:27" x14ac:dyDescent="0.25">
      <c r="B11" s="25" t="s">
        <v>59</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280</v>
      </c>
      <c r="G15" s="23" t="s">
        <v>168</v>
      </c>
      <c r="I15" t="s">
        <v>155</v>
      </c>
      <c r="J15" s="84"/>
      <c r="K15" s="248">
        <v>2.1999999999999999E-2</v>
      </c>
      <c r="L15" s="248">
        <v>3.1E-2</v>
      </c>
      <c r="M15" s="84"/>
      <c r="N15" s="248">
        <v>7.4999999999999997E-2</v>
      </c>
      <c r="O15" s="84"/>
      <c r="P15" s="67"/>
      <c r="Q15" s="248">
        <v>0.37</v>
      </c>
      <c r="R15" s="56"/>
      <c r="S15" s="56"/>
      <c r="U15" s="53" t="s">
        <v>281</v>
      </c>
    </row>
    <row r="17" spans="3:27" x14ac:dyDescent="0.25">
      <c r="E17" s="23" t="s">
        <v>282</v>
      </c>
      <c r="G17" s="23" t="s">
        <v>168</v>
      </c>
      <c r="H17" s="23"/>
      <c r="I17" s="85"/>
      <c r="J17" s="84"/>
      <c r="K17" s="56"/>
      <c r="L17" s="56"/>
      <c r="M17" s="56"/>
      <c r="N17" s="56"/>
      <c r="O17" s="56"/>
      <c r="P17" s="248">
        <v>0</v>
      </c>
      <c r="Q17" s="56"/>
      <c r="R17" s="56"/>
      <c r="S17" s="56"/>
    </row>
    <row r="19" spans="3:27" x14ac:dyDescent="0.25">
      <c r="E19" s="23" t="s">
        <v>283</v>
      </c>
      <c r="G19" s="23" t="s">
        <v>284</v>
      </c>
      <c r="I19" t="s">
        <v>155</v>
      </c>
      <c r="J19" s="69"/>
      <c r="K19" s="243">
        <v>1</v>
      </c>
      <c r="L19" s="243">
        <v>1</v>
      </c>
      <c r="M19" s="243">
        <v>1.004</v>
      </c>
      <c r="N19" s="243">
        <v>1.01</v>
      </c>
      <c r="O19" s="243">
        <v>1.014</v>
      </c>
      <c r="P19" s="69"/>
      <c r="Q19" s="243">
        <v>1.0309999999999999</v>
      </c>
      <c r="R19" s="243">
        <v>1.0429999999999999</v>
      </c>
      <c r="S19" s="243">
        <v>1.0580000000000001</v>
      </c>
      <c r="U19" s="53" t="s">
        <v>285</v>
      </c>
    </row>
    <row r="20" spans="3:27" x14ac:dyDescent="0.25">
      <c r="J20" s="79"/>
      <c r="K20" s="79"/>
      <c r="L20" s="79"/>
      <c r="M20" s="79"/>
      <c r="N20" s="79"/>
      <c r="O20" s="79"/>
      <c r="P20" s="79"/>
      <c r="Q20" s="79"/>
      <c r="R20" s="79"/>
      <c r="S20" s="79"/>
    </row>
    <row r="21" spans="3:27" x14ac:dyDescent="0.25">
      <c r="E21" s="23" t="s">
        <v>286</v>
      </c>
      <c r="G21" s="23" t="s">
        <v>287</v>
      </c>
      <c r="I21" t="s">
        <v>155</v>
      </c>
      <c r="J21" s="69"/>
      <c r="K21" s="243">
        <v>0.15154442262927451</v>
      </c>
      <c r="L21" s="243">
        <f>K21</f>
        <v>0.15154442262927451</v>
      </c>
      <c r="M21" s="243">
        <f t="shared" ref="M21:S21" si="0">L21</f>
        <v>0.15154442262927451</v>
      </c>
      <c r="N21" s="243">
        <f t="shared" si="0"/>
        <v>0.15154442262927451</v>
      </c>
      <c r="O21" s="243">
        <f t="shared" si="0"/>
        <v>0.15154442262927451</v>
      </c>
      <c r="P21" s="243">
        <f t="shared" si="0"/>
        <v>0.15154442262927451</v>
      </c>
      <c r="Q21" s="243">
        <f t="shared" si="0"/>
        <v>0.15154442262927451</v>
      </c>
      <c r="R21" s="243">
        <f t="shared" si="0"/>
        <v>0.15154442262927451</v>
      </c>
      <c r="S21" s="243">
        <f t="shared" si="0"/>
        <v>0.15154442262927451</v>
      </c>
      <c r="U21" s="53" t="s">
        <v>288</v>
      </c>
    </row>
    <row r="23" spans="3:27" x14ac:dyDescent="0.25">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155</v>
      </c>
      <c r="U24" t="s">
        <v>289</v>
      </c>
    </row>
    <row r="25" spans="3:27" x14ac:dyDescent="0.25">
      <c r="C25" s="27"/>
      <c r="E25" s="27" t="s">
        <v>290</v>
      </c>
    </row>
    <row r="26" spans="3:27" x14ac:dyDescent="0.25">
      <c r="F26" s="54" t="s">
        <v>187</v>
      </c>
      <c r="G26" s="54" t="s">
        <v>168</v>
      </c>
      <c r="H26" s="19"/>
      <c r="I26" s="19"/>
      <c r="J26" s="455"/>
      <c r="K26" s="455"/>
      <c r="L26" s="451">
        <v>0</v>
      </c>
      <c r="M26" s="451">
        <v>0</v>
      </c>
      <c r="N26" s="451">
        <v>0</v>
      </c>
      <c r="O26" s="451">
        <v>0.81</v>
      </c>
      <c r="P26" s="451">
        <v>0</v>
      </c>
      <c r="Q26" s="451">
        <v>0.81</v>
      </c>
      <c r="R26" s="451">
        <v>0.95</v>
      </c>
      <c r="S26" s="451">
        <v>0.95</v>
      </c>
    </row>
    <row r="27" spans="3:27" x14ac:dyDescent="0.25">
      <c r="F27" s="23" t="s">
        <v>186</v>
      </c>
      <c r="G27" s="23" t="s">
        <v>168</v>
      </c>
      <c r="J27" s="456"/>
      <c r="K27" s="456"/>
      <c r="L27" s="450">
        <v>0</v>
      </c>
      <c r="M27" s="450">
        <v>0</v>
      </c>
      <c r="N27" s="450">
        <v>0</v>
      </c>
      <c r="O27" s="450">
        <v>0.81</v>
      </c>
      <c r="P27" s="450">
        <v>0</v>
      </c>
      <c r="Q27" s="450">
        <v>0.81</v>
      </c>
      <c r="R27" s="450">
        <v>0.95</v>
      </c>
      <c r="S27" s="457"/>
    </row>
    <row r="28" spans="3:27" x14ac:dyDescent="0.25">
      <c r="F28" s="23" t="s">
        <v>185</v>
      </c>
      <c r="G28" s="23" t="s">
        <v>168</v>
      </c>
      <c r="J28" s="456"/>
      <c r="K28" s="456"/>
      <c r="L28" s="450">
        <v>0</v>
      </c>
      <c r="M28" s="450">
        <v>0.67</v>
      </c>
      <c r="N28" s="450">
        <v>0.67</v>
      </c>
      <c r="O28" s="450">
        <v>1</v>
      </c>
      <c r="P28" s="450">
        <v>0</v>
      </c>
      <c r="Q28" s="450">
        <v>1</v>
      </c>
      <c r="R28" s="457"/>
      <c r="S28" s="457"/>
    </row>
    <row r="29" spans="3:27" x14ac:dyDescent="0.25">
      <c r="F29" s="57" t="s">
        <v>184</v>
      </c>
      <c r="G29" s="57" t="s">
        <v>168</v>
      </c>
      <c r="H29" s="28"/>
      <c r="I29" s="28"/>
      <c r="J29" s="458"/>
      <c r="K29" s="458"/>
      <c r="L29" s="454">
        <v>0</v>
      </c>
      <c r="M29" s="454">
        <v>0.67</v>
      </c>
      <c r="N29" s="454">
        <v>0.67</v>
      </c>
      <c r="O29" s="454">
        <v>1</v>
      </c>
      <c r="P29" s="459"/>
      <c r="Q29" s="459"/>
      <c r="R29" s="459"/>
      <c r="S29" s="459"/>
    </row>
    <row r="31" spans="3:27" x14ac:dyDescent="0.25">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291</v>
      </c>
      <c r="G33" s="23" t="s">
        <v>278</v>
      </c>
      <c r="I33" t="s">
        <v>155</v>
      </c>
      <c r="J33" s="69"/>
      <c r="K33" s="69"/>
      <c r="L33" s="243">
        <v>121702179.09822515</v>
      </c>
      <c r="M33" s="243">
        <v>17432800.031287368</v>
      </c>
      <c r="N33" s="243">
        <v>55743832.248369023</v>
      </c>
      <c r="O33" s="243">
        <v>44091094.451562062</v>
      </c>
      <c r="P33" s="243">
        <v>0</v>
      </c>
      <c r="Q33" s="243">
        <v>203039874.43379998</v>
      </c>
      <c r="R33" s="243">
        <v>83304219.055233777</v>
      </c>
      <c r="S33" s="243">
        <v>205578573.01158521</v>
      </c>
    </row>
    <row r="35" spans="2:27" x14ac:dyDescent="0.25">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292</v>
      </c>
    </row>
    <row r="38" spans="2:27" x14ac:dyDescent="0.25">
      <c r="C38" s="24"/>
    </row>
    <row r="39" spans="2:27" x14ac:dyDescent="0.25">
      <c r="D39" s="27"/>
      <c r="E39" s="27" t="s">
        <v>293</v>
      </c>
      <c r="I39" t="s">
        <v>155</v>
      </c>
      <c r="U39" t="s">
        <v>294</v>
      </c>
    </row>
    <row r="40" spans="2:27" x14ac:dyDescent="0.25">
      <c r="F40" s="19" t="s">
        <v>295</v>
      </c>
      <c r="G40" s="68" t="s">
        <v>168</v>
      </c>
      <c r="H40" s="19"/>
      <c r="I40" s="19"/>
      <c r="J40" s="55"/>
      <c r="K40" s="246">
        <v>0.94699051516559385</v>
      </c>
      <c r="L40" s="246">
        <v>0.86977641867942357</v>
      </c>
      <c r="M40" s="246">
        <v>0.86977641867942357</v>
      </c>
      <c r="N40" s="246">
        <v>0.63717891198827292</v>
      </c>
      <c r="O40" s="246">
        <v>0.63717891198827292</v>
      </c>
      <c r="P40" s="246">
        <v>0.86977641867942357</v>
      </c>
      <c r="Q40" s="246">
        <v>0.63717891198827292</v>
      </c>
      <c r="R40" s="246">
        <v>0.63717891198827292</v>
      </c>
      <c r="S40" s="246">
        <v>0.63717891198827292</v>
      </c>
    </row>
    <row r="41" spans="2:27" x14ac:dyDescent="0.25">
      <c r="F41" t="s">
        <v>296</v>
      </c>
      <c r="G41" s="62" t="s">
        <v>168</v>
      </c>
      <c r="J41" s="56"/>
      <c r="K41" s="241">
        <v>5.3009484834406179E-2</v>
      </c>
      <c r="L41" s="241">
        <v>0.12678623588467511</v>
      </c>
      <c r="M41" s="241">
        <v>0.12678623588467511</v>
      </c>
      <c r="N41" s="241">
        <v>0.3251212237578559</v>
      </c>
      <c r="O41" s="241">
        <v>0.3251212237578559</v>
      </c>
      <c r="P41" s="241">
        <v>0.12678623588467511</v>
      </c>
      <c r="Q41" s="241">
        <v>0.3251212237578559</v>
      </c>
      <c r="R41" s="241">
        <v>0.3251212237578559</v>
      </c>
      <c r="S41" s="241">
        <v>0.3251212237578559</v>
      </c>
    </row>
    <row r="42" spans="2:27" x14ac:dyDescent="0.25">
      <c r="F42" s="28" t="s">
        <v>258</v>
      </c>
      <c r="G42" s="70" t="s">
        <v>168</v>
      </c>
      <c r="H42" s="28"/>
      <c r="I42" s="28"/>
      <c r="J42" s="58"/>
      <c r="K42" s="247">
        <v>0</v>
      </c>
      <c r="L42" s="247">
        <v>3.4373454359011885E-3</v>
      </c>
      <c r="M42" s="247">
        <v>3.4373454359011885E-3</v>
      </c>
      <c r="N42" s="247">
        <v>3.7699864253871146E-2</v>
      </c>
      <c r="O42" s="247">
        <v>3.7699864253871146E-2</v>
      </c>
      <c r="P42" s="247">
        <v>3.4373454359011885E-3</v>
      </c>
      <c r="Q42" s="247">
        <v>3.7699864253871146E-2</v>
      </c>
      <c r="R42" s="247">
        <v>3.7699864253871146E-2</v>
      </c>
      <c r="S42" s="247">
        <v>3.7699864253871146E-2</v>
      </c>
    </row>
    <row r="43" spans="2:27" x14ac:dyDescent="0.25">
      <c r="F43" s="28" t="s">
        <v>297</v>
      </c>
      <c r="G43" s="70" t="s">
        <v>168</v>
      </c>
      <c r="H43" s="28"/>
      <c r="I43" s="28"/>
      <c r="J43" s="58"/>
      <c r="K43" s="247">
        <v>0.90491122713821814</v>
      </c>
      <c r="L43" s="247">
        <v>0.77456476944769914</v>
      </c>
      <c r="M43" s="247">
        <v>0.77456476944769914</v>
      </c>
      <c r="N43" s="247">
        <v>0.53140136067327981</v>
      </c>
      <c r="O43" s="247">
        <v>0.53140136067327981</v>
      </c>
      <c r="P43" s="247">
        <v>0.77456476944769914</v>
      </c>
      <c r="Q43" s="247">
        <v>0.53140136067327981</v>
      </c>
      <c r="R43" s="247">
        <v>0.53140136067327981</v>
      </c>
      <c r="S43" s="247">
        <v>0.53140136067327981</v>
      </c>
    </row>
    <row r="45" spans="2:27" x14ac:dyDescent="0.25">
      <c r="B45" s="25" t="s">
        <v>232</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233</v>
      </c>
      <c r="G47" s="6" t="s">
        <v>56</v>
      </c>
      <c r="H47" s="20">
        <f t="array" ref="H47">SUM(IF(ISERROR(H15:AA44), 1))</f>
        <v>0</v>
      </c>
    </row>
    <row r="49" spans="2:27" x14ac:dyDescent="0.25">
      <c r="E49" t="s">
        <v>298</v>
      </c>
      <c r="G49" s="6" t="s">
        <v>56</v>
      </c>
      <c r="H49" s="20">
        <f>IF(K19 = 1, 0, 1)</f>
        <v>0</v>
      </c>
    </row>
    <row r="51" spans="2:27" x14ac:dyDescent="0.25">
      <c r="E51" s="27" t="s">
        <v>299</v>
      </c>
    </row>
    <row r="52" spans="2:27" x14ac:dyDescent="0.25">
      <c r="E52" s="24" t="s">
        <v>300</v>
      </c>
    </row>
    <row r="53" spans="2:27" x14ac:dyDescent="0.25">
      <c r="F53" s="19" t="s">
        <v>301</v>
      </c>
      <c r="G53" s="63" t="s">
        <v>56</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193</v>
      </c>
      <c r="G54" s="40" t="s">
        <v>56</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240</v>
      </c>
      <c r="G56" s="6" t="s">
        <v>56</v>
      </c>
      <c r="H56" s="93">
        <f>SUM(H47:H54)</f>
        <v>0</v>
      </c>
    </row>
    <row r="58" spans="2:27" x14ac:dyDescent="0.25">
      <c r="B58" s="25" t="s">
        <v>107</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61" activePane="bottomLeft" state="frozen"/>
      <selection pane="bottomLeft" activeCell="J31" sqref="J31"/>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National Grid Electricity Distribution (South West) plc - [enter data version name]</v>
      </c>
    </row>
    <row r="3" spans="1:27" s="5" customFormat="1" x14ac:dyDescent="0.25">
      <c r="A3" s="5" t="str">
        <f>Cover!D2&amp;" - "&amp;Cover!D8&amp;" v"&amp;Cover!D10&amp;" - "&amp;Cover!D19</f>
        <v>CDCM charging model - Release for charge setting v9 - 2024/25</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8" t="s">
        <v>144</v>
      </c>
      <c r="H5" s="83" t="s">
        <v>145</v>
      </c>
      <c r="J5" s="51" t="s">
        <v>146</v>
      </c>
    </row>
    <row r="6" spans="1:27" x14ac:dyDescent="0.25">
      <c r="G6" s="12"/>
    </row>
    <row r="7" spans="1:27" x14ac:dyDescent="0.25">
      <c r="B7" s="25" t="s">
        <v>11</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302</v>
      </c>
      <c r="G9" s="12"/>
    </row>
    <row r="10" spans="1:27" x14ac:dyDescent="0.25">
      <c r="G10" s="12"/>
    </row>
    <row r="11" spans="1:27" x14ac:dyDescent="0.25">
      <c r="B11" s="25" t="s">
        <v>61</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303</v>
      </c>
      <c r="E15" s="27"/>
      <c r="G15" s="12"/>
      <c r="I15" t="s">
        <v>155</v>
      </c>
      <c r="J15" t="s">
        <v>304</v>
      </c>
    </row>
    <row r="16" spans="1:27" x14ac:dyDescent="0.25">
      <c r="E16" s="54" t="s">
        <v>297</v>
      </c>
      <c r="F16" s="54"/>
      <c r="G16" s="75" t="s">
        <v>305</v>
      </c>
      <c r="H16" s="242">
        <v>152</v>
      </c>
    </row>
    <row r="17" spans="3:27" x14ac:dyDescent="0.25">
      <c r="E17" s="23" t="s">
        <v>306</v>
      </c>
      <c r="F17" s="23"/>
      <c r="G17" s="12" t="s">
        <v>305</v>
      </c>
      <c r="H17" s="243">
        <v>3814</v>
      </c>
    </row>
    <row r="18" spans="3:27" x14ac:dyDescent="0.25">
      <c r="E18" s="57" t="s">
        <v>258</v>
      </c>
      <c r="F18" s="57"/>
      <c r="G18" s="76" t="s">
        <v>305</v>
      </c>
      <c r="H18" s="453">
        <v>4794</v>
      </c>
    </row>
    <row r="19" spans="3:27" x14ac:dyDescent="0.25">
      <c r="G19" s="12"/>
      <c r="H19" s="79"/>
    </row>
    <row r="20" spans="3:27" x14ac:dyDescent="0.25">
      <c r="D20" s="27" t="s">
        <v>307</v>
      </c>
      <c r="E20" s="27"/>
      <c r="G20" s="12"/>
      <c r="H20" s="79"/>
      <c r="I20" t="s">
        <v>155</v>
      </c>
      <c r="J20" t="s">
        <v>304</v>
      </c>
    </row>
    <row r="21" spans="3:27" x14ac:dyDescent="0.25">
      <c r="E21" s="19" t="s">
        <v>295</v>
      </c>
      <c r="F21" s="19"/>
      <c r="G21" s="75" t="s">
        <v>305</v>
      </c>
      <c r="H21" s="452">
        <v>522</v>
      </c>
    </row>
    <row r="22" spans="3:27" x14ac:dyDescent="0.25">
      <c r="E22" t="s">
        <v>296</v>
      </c>
      <c r="G22" s="12" t="s">
        <v>305</v>
      </c>
      <c r="H22" s="453">
        <v>3444</v>
      </c>
    </row>
    <row r="23" spans="3:27" x14ac:dyDescent="0.25">
      <c r="E23" s="28" t="s">
        <v>258</v>
      </c>
      <c r="F23" s="28"/>
      <c r="G23" s="76" t="s">
        <v>305</v>
      </c>
      <c r="H23" s="453">
        <v>4794</v>
      </c>
    </row>
    <row r="24" spans="3:27" x14ac:dyDescent="0.25">
      <c r="G24" s="12"/>
    </row>
    <row r="25" spans="3:27" x14ac:dyDescent="0.25">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308</v>
      </c>
      <c r="E27" s="24"/>
      <c r="G27" s="12"/>
    </row>
    <row r="28" spans="3:27" x14ac:dyDescent="0.25">
      <c r="D28" s="24"/>
      <c r="E28" s="24"/>
      <c r="G28" s="12"/>
    </row>
    <row r="29" spans="3:27" x14ac:dyDescent="0.25">
      <c r="D29" s="27" t="s">
        <v>309</v>
      </c>
      <c r="E29" s="27"/>
      <c r="G29" s="12"/>
      <c r="I29" t="s">
        <v>155</v>
      </c>
      <c r="J29" t="s">
        <v>310</v>
      </c>
    </row>
    <row r="30" spans="3:27" x14ac:dyDescent="0.25">
      <c r="E30" s="54" t="s">
        <v>176</v>
      </c>
      <c r="F30" s="19"/>
      <c r="G30" s="68" t="s">
        <v>168</v>
      </c>
      <c r="H30" s="246">
        <v>0.39058025506328897</v>
      </c>
      <c r="J30" s="460">
        <v>-2.8643754035329039E-14</v>
      </c>
    </row>
    <row r="31" spans="3:27" x14ac:dyDescent="0.25">
      <c r="E31" s="23" t="s">
        <v>178</v>
      </c>
      <c r="G31" s="62" t="s">
        <v>168</v>
      </c>
      <c r="H31" s="241">
        <v>0.5844622071010992</v>
      </c>
      <c r="J31" s="460">
        <v>-4.8627768478581856E-14</v>
      </c>
    </row>
    <row r="32" spans="3:27" x14ac:dyDescent="0.25">
      <c r="E32" s="23" t="s">
        <v>179</v>
      </c>
      <c r="G32" s="62" t="s">
        <v>168</v>
      </c>
      <c r="H32" s="241">
        <v>0.30237542617520075</v>
      </c>
      <c r="J32" s="460">
        <v>-4.6906922790412864E-14</v>
      </c>
    </row>
    <row r="33" spans="3:27" x14ac:dyDescent="0.25">
      <c r="E33" s="57" t="s">
        <v>180</v>
      </c>
      <c r="F33" s="28"/>
      <c r="G33" s="70" t="s">
        <v>168</v>
      </c>
      <c r="H33" s="247">
        <v>0.17250073175528055</v>
      </c>
      <c r="J33" s="460">
        <v>-3.5138558729386205E-14</v>
      </c>
    </row>
    <row r="34" spans="3:27" x14ac:dyDescent="0.25">
      <c r="G34" s="12"/>
    </row>
    <row r="35" spans="3:27" x14ac:dyDescent="0.25">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311</v>
      </c>
      <c r="E37" s="24"/>
      <c r="G37" s="12"/>
      <c r="H37" s="12"/>
      <c r="I37" t="s">
        <v>155</v>
      </c>
      <c r="J37" t="s">
        <v>1160</v>
      </c>
      <c r="K37" s="12"/>
      <c r="L37" s="12"/>
      <c r="M37" s="12"/>
      <c r="N37" s="12"/>
      <c r="O37" s="12"/>
      <c r="P37" s="12"/>
      <c r="Q37" s="12"/>
      <c r="R37" s="12"/>
      <c r="S37" s="12"/>
    </row>
    <row r="38" spans="3:27" x14ac:dyDescent="0.25">
      <c r="D38" s="24" t="s">
        <v>1157</v>
      </c>
      <c r="E38" s="24"/>
      <c r="G38" s="12"/>
      <c r="H38" s="12"/>
      <c r="I38" s="12"/>
      <c r="J38" s="87"/>
      <c r="K38" s="12"/>
      <c r="L38" s="12"/>
      <c r="M38" s="12"/>
      <c r="N38" s="12"/>
      <c r="O38" s="12"/>
      <c r="P38" s="12"/>
      <c r="Q38" s="12"/>
      <c r="R38" s="12"/>
      <c r="S38" s="12"/>
    </row>
    <row r="39" spans="3:27" x14ac:dyDescent="0.25">
      <c r="E39" s="27"/>
    </row>
    <row r="40" spans="3:27" x14ac:dyDescent="0.25">
      <c r="E40" t="s">
        <v>312</v>
      </c>
      <c r="G40" t="s">
        <v>278</v>
      </c>
      <c r="H40" s="243">
        <v>329395429.60032231</v>
      </c>
    </row>
    <row r="41" spans="3:27" x14ac:dyDescent="0.25">
      <c r="E41" t="s">
        <v>313</v>
      </c>
      <c r="G41" t="s">
        <v>278</v>
      </c>
      <c r="H41" s="243">
        <v>-274656.0932798186</v>
      </c>
    </row>
    <row r="42" spans="3:27" x14ac:dyDescent="0.25">
      <c r="E42" t="s">
        <v>314</v>
      </c>
      <c r="G42" t="s">
        <v>278</v>
      </c>
      <c r="H42" s="243">
        <v>25598610.725597262</v>
      </c>
    </row>
    <row r="43" spans="3:27" x14ac:dyDescent="0.25">
      <c r="E43" s="28" t="s">
        <v>315</v>
      </c>
      <c r="F43" s="28"/>
      <c r="G43" s="28" t="s">
        <v>284</v>
      </c>
      <c r="H43" s="245">
        <v>1.2761337585410994</v>
      </c>
    </row>
    <row r="44" spans="3:27" x14ac:dyDescent="0.25">
      <c r="E44" t="s">
        <v>316</v>
      </c>
      <c r="G44" t="s">
        <v>278</v>
      </c>
      <c r="H44" s="88">
        <f>SUM(H40:H42)</f>
        <v>354719384.23263973</v>
      </c>
    </row>
    <row r="45" spans="3:27" x14ac:dyDescent="0.25">
      <c r="E45" t="s">
        <v>317</v>
      </c>
      <c r="G45" t="s">
        <v>278</v>
      </c>
      <c r="H45" s="88">
        <f>H44 * (H43 - 1)</f>
        <v>97949996.795543224</v>
      </c>
    </row>
    <row r="46" spans="3:27" x14ac:dyDescent="0.25">
      <c r="H46" s="79"/>
    </row>
    <row r="47" spans="3:27" x14ac:dyDescent="0.25">
      <c r="E47" t="s">
        <v>318</v>
      </c>
      <c r="G47" t="s">
        <v>278</v>
      </c>
      <c r="H47" s="243">
        <v>517918.66156258871</v>
      </c>
    </row>
    <row r="48" spans="3:27" x14ac:dyDescent="0.25">
      <c r="E48" t="s">
        <v>319</v>
      </c>
      <c r="G48" t="s">
        <v>278</v>
      </c>
      <c r="H48" s="243">
        <v>-10516770.700335177</v>
      </c>
    </row>
    <row r="49" spans="1:8" x14ac:dyDescent="0.25">
      <c r="E49" t="s">
        <v>320</v>
      </c>
      <c r="G49" t="s">
        <v>278</v>
      </c>
      <c r="H49" s="243">
        <v>-7142800.7808042681</v>
      </c>
    </row>
    <row r="50" spans="1:8" x14ac:dyDescent="0.25">
      <c r="E50" t="s">
        <v>321</v>
      </c>
      <c r="G50" t="s">
        <v>278</v>
      </c>
      <c r="H50" s="243">
        <v>4716011.1683874782</v>
      </c>
    </row>
    <row r="51" spans="1:8" x14ac:dyDescent="0.25">
      <c r="E51" t="s">
        <v>322</v>
      </c>
      <c r="G51" t="s">
        <v>278</v>
      </c>
      <c r="H51" s="243">
        <v>512203.56373238243</v>
      </c>
    </row>
    <row r="52" spans="1:8" x14ac:dyDescent="0.25">
      <c r="E52" t="s">
        <v>323</v>
      </c>
      <c r="G52" t="s">
        <v>278</v>
      </c>
      <c r="H52" s="243">
        <v>48983.088780628335</v>
      </c>
    </row>
    <row r="53" spans="1:8" x14ac:dyDescent="0.25">
      <c r="E53" t="s">
        <v>871</v>
      </c>
      <c r="G53" t="s">
        <v>278</v>
      </c>
      <c r="H53" s="243">
        <v>1118528.0814864344</v>
      </c>
    </row>
    <row r="54" spans="1:8" x14ac:dyDescent="0.25">
      <c r="E54" t="s">
        <v>872</v>
      </c>
      <c r="G54" t="s">
        <v>278</v>
      </c>
      <c r="H54" s="243">
        <v>4542999.59907851</v>
      </c>
    </row>
    <row r="55" spans="1:8" s="408" customFormat="1" x14ac:dyDescent="0.25">
      <c r="A55"/>
      <c r="E55" t="s">
        <v>1151</v>
      </c>
      <c r="G55" s="408" t="s">
        <v>278</v>
      </c>
      <c r="H55" s="243">
        <v>0</v>
      </c>
    </row>
    <row r="56" spans="1:8" x14ac:dyDescent="0.25">
      <c r="E56" s="28" t="s">
        <v>324</v>
      </c>
      <c r="F56" s="28"/>
      <c r="G56" s="28" t="s">
        <v>278</v>
      </c>
      <c r="H56" s="245"/>
    </row>
    <row r="57" spans="1:8" s="408" customFormat="1" x14ac:dyDescent="0.25">
      <c r="E57" s="408" t="s">
        <v>325</v>
      </c>
      <c r="G57" s="408" t="s">
        <v>278</v>
      </c>
      <c r="H57" s="409">
        <f>SUM(H47:H56)</f>
        <v>-6202927.3181114234</v>
      </c>
    </row>
    <row r="58" spans="1:8" x14ac:dyDescent="0.25">
      <c r="H58" s="79"/>
    </row>
    <row r="59" spans="1:8" x14ac:dyDescent="0.25">
      <c r="E59" t="s">
        <v>326</v>
      </c>
      <c r="G59" t="s">
        <v>278</v>
      </c>
      <c r="H59" s="243">
        <v>4551426.2689910606</v>
      </c>
    </row>
    <row r="60" spans="1:8" x14ac:dyDescent="0.25">
      <c r="E60" t="s">
        <v>327</v>
      </c>
      <c r="G60" t="s">
        <v>278</v>
      </c>
      <c r="H60" s="243">
        <v>4414791.7514573466</v>
      </c>
    </row>
    <row r="61" spans="1:8" x14ac:dyDescent="0.25">
      <c r="E61" t="s">
        <v>328</v>
      </c>
      <c r="G61" t="s">
        <v>278</v>
      </c>
      <c r="H61" s="243">
        <v>0</v>
      </c>
    </row>
    <row r="62" spans="1:8" x14ac:dyDescent="0.25">
      <c r="E62" t="s">
        <v>329</v>
      </c>
      <c r="G62" t="s">
        <v>278</v>
      </c>
      <c r="H62" s="243">
        <v>1215012.1354895213</v>
      </c>
    </row>
    <row r="63" spans="1:8" x14ac:dyDescent="0.25">
      <c r="E63" t="s">
        <v>330</v>
      </c>
      <c r="G63" t="s">
        <v>278</v>
      </c>
      <c r="H63" s="243">
        <v>0</v>
      </c>
    </row>
    <row r="64" spans="1:8" x14ac:dyDescent="0.25">
      <c r="E64" t="s">
        <v>331</v>
      </c>
      <c r="G64" t="s">
        <v>278</v>
      </c>
      <c r="H64" s="243">
        <v>0</v>
      </c>
    </row>
    <row r="65" spans="5:8" x14ac:dyDescent="0.25">
      <c r="E65" t="s">
        <v>332</v>
      </c>
      <c r="G65" t="s">
        <v>278</v>
      </c>
      <c r="H65" s="243">
        <v>0</v>
      </c>
    </row>
    <row r="66" spans="5:8" x14ac:dyDescent="0.25">
      <c r="E66" t="s">
        <v>333</v>
      </c>
      <c r="G66" t="s">
        <v>278</v>
      </c>
      <c r="H66" s="243">
        <v>0</v>
      </c>
    </row>
    <row r="67" spans="5:8" x14ac:dyDescent="0.25">
      <c r="E67" t="s">
        <v>334</v>
      </c>
      <c r="G67" t="s">
        <v>278</v>
      </c>
      <c r="H67" s="243">
        <v>0</v>
      </c>
    </row>
    <row r="68" spans="5:8" x14ac:dyDescent="0.25">
      <c r="E68" t="s">
        <v>335</v>
      </c>
      <c r="G68" t="s">
        <v>278</v>
      </c>
      <c r="H68" s="243">
        <v>0</v>
      </c>
    </row>
    <row r="69" spans="5:8" x14ac:dyDescent="0.25">
      <c r="E69" s="28" t="s">
        <v>336</v>
      </c>
      <c r="F69" s="28"/>
      <c r="G69" s="28" t="s">
        <v>278</v>
      </c>
      <c r="H69" s="245"/>
    </row>
    <row r="70" spans="5:8" x14ac:dyDescent="0.25">
      <c r="E70" t="s">
        <v>337</v>
      </c>
      <c r="G70" t="s">
        <v>278</v>
      </c>
      <c r="H70" s="88">
        <f>SUM(H59:H69)</f>
        <v>10181230.155937929</v>
      </c>
    </row>
    <row r="71" spans="5:8" x14ac:dyDescent="0.25">
      <c r="H71" s="79"/>
    </row>
    <row r="72" spans="5:8" x14ac:dyDescent="0.25">
      <c r="E72" s="28" t="s">
        <v>338</v>
      </c>
      <c r="F72" s="28"/>
      <c r="G72" s="28" t="s">
        <v>278</v>
      </c>
      <c r="H72" s="245">
        <v>45717350.639119826</v>
      </c>
    </row>
    <row r="73" spans="5:8" x14ac:dyDescent="0.25">
      <c r="E73" t="s">
        <v>339</v>
      </c>
      <c r="G73" t="s">
        <v>278</v>
      </c>
      <c r="H73" s="88">
        <f>H72 + H70 + H57 + H45 + H44</f>
        <v>502365034.50512928</v>
      </c>
    </row>
    <row r="74" spans="5:8" x14ac:dyDescent="0.25">
      <c r="H74" s="79"/>
    </row>
    <row r="75" spans="5:8" x14ac:dyDescent="0.25">
      <c r="E75" t="s">
        <v>340</v>
      </c>
      <c r="G75" t="s">
        <v>278</v>
      </c>
      <c r="H75" s="243">
        <v>0</v>
      </c>
    </row>
    <row r="76" spans="5:8" x14ac:dyDescent="0.25">
      <c r="E76" t="s">
        <v>341</v>
      </c>
      <c r="G76" t="s">
        <v>278</v>
      </c>
      <c r="H76" s="243">
        <v>0</v>
      </c>
    </row>
    <row r="77" spans="5:8" x14ac:dyDescent="0.25">
      <c r="E77" t="s">
        <v>342</v>
      </c>
      <c r="G77" t="s">
        <v>278</v>
      </c>
      <c r="H77" s="243">
        <v>0</v>
      </c>
    </row>
    <row r="78" spans="5:8" x14ac:dyDescent="0.25">
      <c r="E78" s="28" t="s">
        <v>1169</v>
      </c>
      <c r="G78" t="s">
        <v>278</v>
      </c>
      <c r="H78" s="243">
        <v>0</v>
      </c>
    </row>
    <row r="79" spans="5:8" x14ac:dyDescent="0.25">
      <c r="E79" s="28" t="s">
        <v>343</v>
      </c>
      <c r="F79" s="28"/>
      <c r="G79" s="28" t="s">
        <v>278</v>
      </c>
      <c r="H79" s="245">
        <v>0</v>
      </c>
    </row>
    <row r="80" spans="5:8" x14ac:dyDescent="0.25">
      <c r="E80" s="28" t="s">
        <v>344</v>
      </c>
      <c r="F80" s="28"/>
      <c r="G80" s="28" t="s">
        <v>278</v>
      </c>
      <c r="H80" s="90">
        <f>SUM(H75:H79)</f>
        <v>0</v>
      </c>
    </row>
    <row r="81" spans="3:27" x14ac:dyDescent="0.25">
      <c r="E81" t="s">
        <v>345</v>
      </c>
      <c r="G81" t="s">
        <v>278</v>
      </c>
      <c r="H81" s="89">
        <f>H73+H80</f>
        <v>502365034.50512928</v>
      </c>
    </row>
    <row r="82" spans="3:27" x14ac:dyDescent="0.25">
      <c r="H82" s="79"/>
    </row>
    <row r="83" spans="3:27" x14ac:dyDescent="0.25">
      <c r="E83" t="s">
        <v>346</v>
      </c>
      <c r="G83" t="s">
        <v>278</v>
      </c>
      <c r="H83" s="243">
        <v>8768137.4602312502</v>
      </c>
      <c r="J83" s="461">
        <v>0</v>
      </c>
    </row>
    <row r="84" spans="3:27" x14ac:dyDescent="0.25">
      <c r="E84" t="s">
        <v>347</v>
      </c>
      <c r="G84" t="s">
        <v>278</v>
      </c>
      <c r="H84" s="243"/>
    </row>
    <row r="85" spans="3:27" x14ac:dyDescent="0.25">
      <c r="E85" t="s">
        <v>348</v>
      </c>
      <c r="G85" t="s">
        <v>278</v>
      </c>
      <c r="H85" s="243"/>
    </row>
    <row r="86" spans="3:27" x14ac:dyDescent="0.25">
      <c r="E86" s="28" t="s">
        <v>349</v>
      </c>
      <c r="F86" s="28"/>
      <c r="G86" s="28" t="s">
        <v>278</v>
      </c>
      <c r="H86" s="245"/>
    </row>
    <row r="87" spans="3:27" x14ac:dyDescent="0.25">
      <c r="E87" t="s">
        <v>350</v>
      </c>
      <c r="G87" t="s">
        <v>278</v>
      </c>
      <c r="H87" s="88">
        <f>SUM(H83:H86)</f>
        <v>8768137.4602312502</v>
      </c>
    </row>
    <row r="88" spans="3:27" x14ac:dyDescent="0.25">
      <c r="E88" s="19" t="s">
        <v>351</v>
      </c>
      <c r="F88" s="19"/>
      <c r="G88" s="19" t="s">
        <v>278</v>
      </c>
      <c r="H88" s="91">
        <f>H81-H87</f>
        <v>493596897.04489803</v>
      </c>
    </row>
    <row r="89" spans="3:27" x14ac:dyDescent="0.25">
      <c r="H89" s="92"/>
    </row>
    <row r="90" spans="3:27" x14ac:dyDescent="0.25">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168</v>
      </c>
      <c r="H92" s="248">
        <v>3.2399999999999998E-2</v>
      </c>
      <c r="I92" t="s">
        <v>155</v>
      </c>
      <c r="J92" s="3" t="s">
        <v>166</v>
      </c>
    </row>
    <row r="93" spans="3:27" x14ac:dyDescent="0.25">
      <c r="E93" s="23" t="s">
        <v>128</v>
      </c>
      <c r="G93" s="23" t="s">
        <v>353</v>
      </c>
      <c r="H93" s="233">
        <v>365</v>
      </c>
    </row>
    <row r="94" spans="3:27" x14ac:dyDescent="0.25">
      <c r="E94" t="s">
        <v>354</v>
      </c>
      <c r="G94" t="s">
        <v>148</v>
      </c>
      <c r="H94" s="93">
        <f>days_in_year * hours_in_day</f>
        <v>8760</v>
      </c>
    </row>
    <row r="96" spans="3:27" x14ac:dyDescent="0.25">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7786074.9009868102</v>
      </c>
      <c r="I98" t="s">
        <v>155</v>
      </c>
      <c r="J98" t="s">
        <v>357</v>
      </c>
    </row>
    <row r="99" spans="2:27" x14ac:dyDescent="0.25">
      <c r="H99" s="79"/>
    </row>
    <row r="100" spans="2:27" x14ac:dyDescent="0.25">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155</v>
      </c>
      <c r="J102" t="s">
        <v>171</v>
      </c>
    </row>
    <row r="103" spans="2:27" x14ac:dyDescent="0.25">
      <c r="F103" s="54" t="s">
        <v>359</v>
      </c>
      <c r="G103" s="19" t="s">
        <v>356</v>
      </c>
      <c r="H103" s="242">
        <v>44444884.104686767</v>
      </c>
    </row>
    <row r="104" spans="2:27" x14ac:dyDescent="0.25">
      <c r="F104" s="23" t="s">
        <v>360</v>
      </c>
      <c r="G104" t="s">
        <v>356</v>
      </c>
      <c r="H104" s="243">
        <v>149693784.37363404</v>
      </c>
      <c r="R104" s="78"/>
      <c r="S104" s="78"/>
    </row>
    <row r="105" spans="2:27" x14ac:dyDescent="0.25">
      <c r="F105" s="57" t="s">
        <v>361</v>
      </c>
      <c r="G105" s="28" t="s">
        <v>356</v>
      </c>
      <c r="H105" s="245">
        <v>26566206.03750059</v>
      </c>
      <c r="R105" s="78"/>
      <c r="S105" s="78"/>
    </row>
    <row r="107" spans="2:27" x14ac:dyDescent="0.25">
      <c r="B107" s="25" t="s">
        <v>232</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233</v>
      </c>
      <c r="G109" s="6" t="s">
        <v>56</v>
      </c>
      <c r="H109" s="20">
        <f t="array" ref="H109">SUM(IF(ISERROR(H6:H106), 1))</f>
        <v>0</v>
      </c>
    </row>
    <row r="111" spans="2:27" x14ac:dyDescent="0.25">
      <c r="E111" s="27" t="s">
        <v>362</v>
      </c>
    </row>
    <row r="112" spans="2:27" x14ac:dyDescent="0.25">
      <c r="F112" s="19" t="s">
        <v>363</v>
      </c>
      <c r="G112" s="63" t="s">
        <v>56</v>
      </c>
      <c r="H112" s="64">
        <f>IF(SUM(H16:H18) = hours_in_year, 0, 1)</f>
        <v>0</v>
      </c>
    </row>
    <row r="113" spans="2:27" x14ac:dyDescent="0.25">
      <c r="F113" s="28" t="s">
        <v>364</v>
      </c>
      <c r="G113" s="40" t="s">
        <v>56</v>
      </c>
      <c r="H113" s="65">
        <f>IF(SUM(H21:H23) = hours_in_year, 0, 1)</f>
        <v>0</v>
      </c>
    </row>
    <row r="115" spans="2:27" x14ac:dyDescent="0.25">
      <c r="E115" t="s">
        <v>240</v>
      </c>
      <c r="G115" s="6" t="s">
        <v>56</v>
      </c>
      <c r="H115" s="93">
        <f>SUM(H109,H112:H113)</f>
        <v>0</v>
      </c>
    </row>
    <row r="117" spans="2:27" x14ac:dyDescent="0.25">
      <c r="B117" s="25" t="s">
        <v>107</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56525fcc-fd9b-4a18-b571-66fa38027e5b"/>
    <ds:schemaRef ds:uri="dcbf8a88-e063-4a69-82e9-42d02808f636"/>
    <ds:schemaRef ds:uri="http://www.w3.org/XML/1998/namespace"/>
    <ds:schemaRef ds:uri="http://purl.org/dc/dcmitype/"/>
  </ds:schemaRefs>
</ds:datastoreItem>
</file>

<file path=customXml/itemProps2.xml><?xml version="1.0" encoding="utf-8"?>
<ds:datastoreItem xmlns:ds="http://schemas.openxmlformats.org/officeDocument/2006/customXml" ds:itemID="{568DAD6A-0C75-49C3-A914-09F3F9A2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2022-12-15T09:53:09Z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