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20" yWindow="-120" windowWidth="29040" windowHeight="15840" tabRatio="870" activeTab="14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0" i="33" l="1"/>
  <c r="A4" i="36"/>
  <c r="H110" i="15" l="1"/>
  <c r="H112" i="15"/>
  <c r="H109" i="15"/>
  <c r="H111" i="15"/>
  <c r="H108" i="15"/>
  <c r="H114" i="15" s="1"/>
  <c r="H116" i="15" l="1"/>
  <c r="H118" i="15" s="1"/>
  <c r="H120" i="15" s="1"/>
  <c r="H49" i="20" l="1"/>
  <c r="H124" i="15"/>
  <c r="H131" i="15" s="1"/>
  <c r="H133" i="15" s="1"/>
  <c r="H134" i="15" s="1"/>
  <c r="H139" i="15" l="1"/>
  <c r="H83" i="21" s="1"/>
  <c r="H138" i="15"/>
  <c r="H82" i="21" s="1"/>
  <c r="H140" i="15"/>
  <c r="H84" i="21" s="1"/>
  <c r="H137" i="15"/>
  <c r="H141" i="15"/>
  <c r="H85" i="21" s="1"/>
  <c r="N56" i="20"/>
  <c r="N55" i="20"/>
  <c r="AP101" i="21" l="1"/>
  <c r="AP152" i="21" s="1"/>
  <c r="AP32" i="38" s="1"/>
  <c r="O101" i="21"/>
  <c r="O152" i="21" s="1"/>
  <c r="O32" i="38" s="1"/>
  <c r="AE101" i="21"/>
  <c r="AE152" i="21" s="1"/>
  <c r="AE32" i="38" s="1"/>
  <c r="AG101" i="21"/>
  <c r="AG152" i="21" s="1"/>
  <c r="AG32" i="38" s="1"/>
  <c r="Y101" i="21"/>
  <c r="Y152" i="21" s="1"/>
  <c r="Y32" i="38" s="1"/>
  <c r="AK101" i="21"/>
  <c r="AK152" i="21" s="1"/>
  <c r="AK32" i="38" s="1"/>
  <c r="S101" i="21"/>
  <c r="S152" i="21" s="1"/>
  <c r="S32" i="38" s="1"/>
  <c r="AQ101" i="21"/>
  <c r="AQ152" i="21" s="1"/>
  <c r="AQ32" i="38" s="1"/>
  <c r="V101" i="21"/>
  <c r="V152" i="21" s="1"/>
  <c r="V32" i="38" s="1"/>
  <c r="M101" i="21"/>
  <c r="M152" i="21" s="1"/>
  <c r="M32" i="38" s="1"/>
  <c r="P101" i="21"/>
  <c r="P152" i="21" s="1"/>
  <c r="P32" i="38" s="1"/>
  <c r="X101" i="21"/>
  <c r="X152" i="21" s="1"/>
  <c r="X32" i="38" s="1"/>
  <c r="AR101" i="21"/>
  <c r="AR152" i="21" s="1"/>
  <c r="AR32" i="38" s="1"/>
  <c r="AN101" i="21"/>
  <c r="AN152" i="21" s="1"/>
  <c r="AN32" i="38" s="1"/>
  <c r="AB101" i="21"/>
  <c r="AB152" i="21" s="1"/>
  <c r="AB32" i="38" s="1"/>
  <c r="N101" i="21"/>
  <c r="N152" i="21" s="1"/>
  <c r="N32" i="38" s="1"/>
  <c r="AL101" i="21"/>
  <c r="AL152" i="21" s="1"/>
  <c r="AL32" i="38" s="1"/>
  <c r="AO101" i="21"/>
  <c r="AO152" i="21" s="1"/>
  <c r="AO32" i="38" s="1"/>
  <c r="AA101" i="21"/>
  <c r="AA152" i="21" s="1"/>
  <c r="AA32" i="38" s="1"/>
  <c r="L101" i="21"/>
  <c r="L152" i="21" s="1"/>
  <c r="L32" i="38" s="1"/>
  <c r="W101" i="21"/>
  <c r="W152" i="21" s="1"/>
  <c r="W32" i="38" s="1"/>
  <c r="AM101" i="21"/>
  <c r="AM152" i="21" s="1"/>
  <c r="AM32" i="38" s="1"/>
  <c r="T101" i="21"/>
  <c r="T152" i="21" s="1"/>
  <c r="T32" i="38" s="1"/>
  <c r="J101" i="21"/>
  <c r="J152" i="21" s="1"/>
  <c r="J32" i="38" s="1"/>
  <c r="AJ101" i="21"/>
  <c r="AJ152" i="21" s="1"/>
  <c r="AJ32" i="38" s="1"/>
  <c r="AD101" i="21"/>
  <c r="AD152" i="21" s="1"/>
  <c r="AD32" i="38" s="1"/>
  <c r="R101" i="21"/>
  <c r="R152" i="21" s="1"/>
  <c r="R32" i="38" s="1"/>
  <c r="Z101" i="21"/>
  <c r="Z152" i="21" s="1"/>
  <c r="Z32" i="38" s="1"/>
  <c r="AH101" i="21"/>
  <c r="AH152" i="21" s="1"/>
  <c r="AH32" i="38" s="1"/>
  <c r="AF101" i="21"/>
  <c r="AF152" i="21" s="1"/>
  <c r="AF32" i="38" s="1"/>
  <c r="K101" i="21"/>
  <c r="K152" i="21" s="1"/>
  <c r="K32" i="38" s="1"/>
  <c r="Q101" i="21"/>
  <c r="Q152" i="21" s="1"/>
  <c r="Q32" i="38" s="1"/>
  <c r="AI101" i="21"/>
  <c r="AI152" i="21" s="1"/>
  <c r="AI32" i="38" s="1"/>
  <c r="U101" i="21"/>
  <c r="U152" i="21" s="1"/>
  <c r="U32" i="38" s="1"/>
  <c r="AC101" i="21"/>
  <c r="AC152" i="21" s="1"/>
  <c r="AC32" i="38" s="1"/>
  <c r="H143" i="15"/>
  <c r="H147" i="15" s="1"/>
  <c r="H81" i="21"/>
  <c r="AO100" i="21"/>
  <c r="AO151" i="21" s="1"/>
  <c r="L100" i="21"/>
  <c r="L151" i="21" s="1"/>
  <c r="Q100" i="21"/>
  <c r="Q151" i="21" s="1"/>
  <c r="O100" i="21"/>
  <c r="O151" i="21" s="1"/>
  <c r="X100" i="21"/>
  <c r="X151" i="21" s="1"/>
  <c r="AC100" i="21"/>
  <c r="AC151" i="21" s="1"/>
  <c r="J100" i="21"/>
  <c r="J151" i="21" s="1"/>
  <c r="AH100" i="21"/>
  <c r="AH151" i="21" s="1"/>
  <c r="Z100" i="21"/>
  <c r="Z151" i="21" s="1"/>
  <c r="AR100" i="21"/>
  <c r="AR151" i="21" s="1"/>
  <c r="AL100" i="21"/>
  <c r="AL151" i="21" s="1"/>
  <c r="W100" i="21"/>
  <c r="W151" i="21" s="1"/>
  <c r="AP100" i="21"/>
  <c r="AP151" i="21" s="1"/>
  <c r="Y100" i="21"/>
  <c r="Y151" i="21" s="1"/>
  <c r="N100" i="21"/>
  <c r="N151" i="21" s="1"/>
  <c r="AJ100" i="21"/>
  <c r="AJ151" i="21" s="1"/>
  <c r="AA100" i="21"/>
  <c r="AA151" i="21" s="1"/>
  <c r="U100" i="21"/>
  <c r="U151" i="21" s="1"/>
  <c r="T100" i="21"/>
  <c r="T151" i="21" s="1"/>
  <c r="AF100" i="21"/>
  <c r="AF151" i="21" s="1"/>
  <c r="AG100" i="21"/>
  <c r="AG151" i="21" s="1"/>
  <c r="R100" i="21"/>
  <c r="R151" i="21" s="1"/>
  <c r="M100" i="21"/>
  <c r="M151" i="21" s="1"/>
  <c r="P100" i="21"/>
  <c r="P151" i="21" s="1"/>
  <c r="K100" i="21"/>
  <c r="K151" i="21" s="1"/>
  <c r="AE100" i="21"/>
  <c r="AE151" i="21" s="1"/>
  <c r="AN100" i="21"/>
  <c r="AN151" i="21" s="1"/>
  <c r="AK100" i="21"/>
  <c r="AK151" i="21" s="1"/>
  <c r="AD100" i="21"/>
  <c r="AD151" i="21" s="1"/>
  <c r="S100" i="21"/>
  <c r="S151" i="21" s="1"/>
  <c r="AB100" i="21"/>
  <c r="AB151" i="21" s="1"/>
  <c r="AQ100" i="21"/>
  <c r="AQ151" i="21" s="1"/>
  <c r="AI100" i="21"/>
  <c r="AI151" i="21" s="1"/>
  <c r="V100" i="21"/>
  <c r="V151" i="21" s="1"/>
  <c r="AM100" i="21"/>
  <c r="AM151" i="21" s="1"/>
  <c r="T98" i="21"/>
  <c r="T149" i="21" s="1"/>
  <c r="AG98" i="21"/>
  <c r="AG149" i="21" s="1"/>
  <c r="J98" i="21"/>
  <c r="J149" i="21" s="1"/>
  <c r="AD98" i="21"/>
  <c r="AD149" i="21" s="1"/>
  <c r="AA98" i="21"/>
  <c r="AA149" i="21" s="1"/>
  <c r="AF98" i="21"/>
  <c r="AF149" i="21" s="1"/>
  <c r="K98" i="21"/>
  <c r="K149" i="21" s="1"/>
  <c r="R98" i="21"/>
  <c r="R149" i="21" s="1"/>
  <c r="AI98" i="21"/>
  <c r="AI149" i="21" s="1"/>
  <c r="W98" i="21"/>
  <c r="W149" i="21" s="1"/>
  <c r="S98" i="21"/>
  <c r="S149" i="21" s="1"/>
  <c r="Q98" i="21"/>
  <c r="Q149" i="21" s="1"/>
  <c r="AM98" i="21"/>
  <c r="AM149" i="21" s="1"/>
  <c r="AQ98" i="21"/>
  <c r="AQ149" i="21" s="1"/>
  <c r="AJ98" i="21"/>
  <c r="AJ149" i="21" s="1"/>
  <c r="AL98" i="21"/>
  <c r="AL149" i="21" s="1"/>
  <c r="O98" i="21"/>
  <c r="O149" i="21" s="1"/>
  <c r="AB98" i="21"/>
  <c r="AB149" i="21" s="1"/>
  <c r="AO98" i="21"/>
  <c r="AO149" i="21" s="1"/>
  <c r="Y98" i="21"/>
  <c r="Y149" i="21" s="1"/>
  <c r="AP98" i="21"/>
  <c r="AP149" i="21" s="1"/>
  <c r="M98" i="21"/>
  <c r="M149" i="21" s="1"/>
  <c r="Z98" i="21"/>
  <c r="Z149" i="21" s="1"/>
  <c r="P98" i="21"/>
  <c r="P149" i="21" s="1"/>
  <c r="V98" i="21"/>
  <c r="V149" i="21" s="1"/>
  <c r="AE98" i="21"/>
  <c r="AE149" i="21" s="1"/>
  <c r="L98" i="21"/>
  <c r="L149" i="21" s="1"/>
  <c r="X98" i="21"/>
  <c r="X149" i="21" s="1"/>
  <c r="AR98" i="21"/>
  <c r="AR149" i="21" s="1"/>
  <c r="N98" i="21"/>
  <c r="N149" i="21" s="1"/>
  <c r="AK98" i="21"/>
  <c r="AK149" i="21" s="1"/>
  <c r="AN98" i="21"/>
  <c r="AN149" i="21" s="1"/>
  <c r="AH98" i="21"/>
  <c r="AH149" i="21" s="1"/>
  <c r="U98" i="21"/>
  <c r="U149" i="21" s="1"/>
  <c r="AC98" i="21"/>
  <c r="AC149" i="21" s="1"/>
  <c r="N58" i="20"/>
  <c r="H59" i="20" s="1"/>
  <c r="H60" i="20" s="1"/>
  <c r="K99" i="21"/>
  <c r="K150" i="21" s="1"/>
  <c r="K30" i="38" s="1"/>
  <c r="AE99" i="21"/>
  <c r="AE150" i="21" s="1"/>
  <c r="AE30" i="38" s="1"/>
  <c r="U99" i="21"/>
  <c r="U150" i="21" s="1"/>
  <c r="U30" i="38" s="1"/>
  <c r="L99" i="21"/>
  <c r="L150" i="21" s="1"/>
  <c r="L30" i="38" s="1"/>
  <c r="AN99" i="21"/>
  <c r="AN150" i="21" s="1"/>
  <c r="AN30" i="38" s="1"/>
  <c r="AI99" i="21"/>
  <c r="AI150" i="21" s="1"/>
  <c r="AI30" i="38" s="1"/>
  <c r="M99" i="21"/>
  <c r="M150" i="21" s="1"/>
  <c r="M30" i="38" s="1"/>
  <c r="AM99" i="21"/>
  <c r="AM150" i="21" s="1"/>
  <c r="AM30" i="38" s="1"/>
  <c r="AP99" i="21"/>
  <c r="AP150" i="21" s="1"/>
  <c r="AP30" i="38" s="1"/>
  <c r="AH99" i="21"/>
  <c r="AH150" i="21" s="1"/>
  <c r="AH30" i="38" s="1"/>
  <c r="AD99" i="21"/>
  <c r="AD150" i="21" s="1"/>
  <c r="AD30" i="38" s="1"/>
  <c r="Z99" i="21"/>
  <c r="Z150" i="21" s="1"/>
  <c r="Z30" i="38" s="1"/>
  <c r="N99" i="21"/>
  <c r="N150" i="21" s="1"/>
  <c r="N30" i="38" s="1"/>
  <c r="Q99" i="21"/>
  <c r="Q150" i="21" s="1"/>
  <c r="Q30" i="38" s="1"/>
  <c r="AC99" i="21"/>
  <c r="AC150" i="21" s="1"/>
  <c r="AC30" i="38" s="1"/>
  <c r="X99" i="21"/>
  <c r="X150" i="21" s="1"/>
  <c r="X30" i="38" s="1"/>
  <c r="Y99" i="21"/>
  <c r="Y150" i="21" s="1"/>
  <c r="Y30" i="38" s="1"/>
  <c r="T99" i="21"/>
  <c r="T150" i="21" s="1"/>
  <c r="T30" i="38" s="1"/>
  <c r="AL99" i="21"/>
  <c r="AL150" i="21" s="1"/>
  <c r="AL30" i="38" s="1"/>
  <c r="R99" i="21"/>
  <c r="R150" i="21" s="1"/>
  <c r="R30" i="38" s="1"/>
  <c r="AQ99" i="21"/>
  <c r="AQ150" i="21" s="1"/>
  <c r="AQ30" i="38" s="1"/>
  <c r="O99" i="21"/>
  <c r="O150" i="21" s="1"/>
  <c r="O30" i="38" s="1"/>
  <c r="AJ99" i="21"/>
  <c r="AJ150" i="21" s="1"/>
  <c r="AJ30" i="38" s="1"/>
  <c r="V99" i="21"/>
  <c r="V150" i="21" s="1"/>
  <c r="V30" i="38" s="1"/>
  <c r="S99" i="21"/>
  <c r="S150" i="21" s="1"/>
  <c r="S30" i="38" s="1"/>
  <c r="AB99" i="21"/>
  <c r="AB150" i="21" s="1"/>
  <c r="AB30" i="38" s="1"/>
  <c r="AA99" i="21"/>
  <c r="AA150" i="21" s="1"/>
  <c r="AA30" i="38" s="1"/>
  <c r="W99" i="21"/>
  <c r="W150" i="21" s="1"/>
  <c r="W30" i="38" s="1"/>
  <c r="AG99" i="21"/>
  <c r="AG150" i="21" s="1"/>
  <c r="AG30" i="38" s="1"/>
  <c r="AR99" i="21"/>
  <c r="AR150" i="21" s="1"/>
  <c r="AR30" i="38" s="1"/>
  <c r="P99" i="21"/>
  <c r="P150" i="21" s="1"/>
  <c r="P30" i="38" s="1"/>
  <c r="J99" i="21"/>
  <c r="J150" i="21" s="1"/>
  <c r="J30" i="38" s="1"/>
  <c r="AF99" i="21"/>
  <c r="AF150" i="21" s="1"/>
  <c r="AF30" i="38" s="1"/>
  <c r="AK99" i="21"/>
  <c r="AK150" i="21" s="1"/>
  <c r="AK30" i="38" s="1"/>
  <c r="AO99" i="21"/>
  <c r="AO150" i="21" s="1"/>
  <c r="AO30" i="38" s="1"/>
  <c r="Y24" i="39" l="1"/>
  <c r="Y30" i="39" s="1"/>
  <c r="Y29" i="38"/>
  <c r="H34" i="33"/>
  <c r="A4" i="15"/>
  <c r="AK29" i="38"/>
  <c r="AK24" i="39"/>
  <c r="AK30" i="39" s="1"/>
  <c r="V24" i="39"/>
  <c r="V30" i="39" s="1"/>
  <c r="V29" i="38"/>
  <c r="AO29" i="38"/>
  <c r="AO24" i="39"/>
  <c r="AO30" i="39" s="1"/>
  <c r="AM29" i="38"/>
  <c r="AM24" i="39"/>
  <c r="AM30" i="39" s="1"/>
  <c r="K24" i="39"/>
  <c r="K30" i="39" s="1"/>
  <c r="K29" i="38"/>
  <c r="T24" i="39"/>
  <c r="T30" i="39" s="1"/>
  <c r="T29" i="38"/>
  <c r="AB31" i="38"/>
  <c r="AB22" i="39"/>
  <c r="AB28" i="39" s="1"/>
  <c r="K22" i="39"/>
  <c r="K28" i="39" s="1"/>
  <c r="K31" i="38"/>
  <c r="T31" i="38"/>
  <c r="T22" i="39"/>
  <c r="T28" i="39" s="1"/>
  <c r="AP31" i="38"/>
  <c r="AP22" i="39"/>
  <c r="AP28" i="39" s="1"/>
  <c r="J31" i="38"/>
  <c r="J22" i="39"/>
  <c r="J28" i="39" s="1"/>
  <c r="AO31" i="38"/>
  <c r="AO22" i="39"/>
  <c r="AO28" i="39" s="1"/>
  <c r="J62" i="20"/>
  <c r="L62" i="20"/>
  <c r="L45" i="22" s="1"/>
  <c r="K62" i="20"/>
  <c r="K45" i="22" s="1"/>
  <c r="N62" i="20"/>
  <c r="N45" i="22" s="1"/>
  <c r="M62" i="20"/>
  <c r="M45" i="22" s="1"/>
  <c r="AN29" i="38"/>
  <c r="AN24" i="39"/>
  <c r="AN30" i="39" s="1"/>
  <c r="AQ24" i="39"/>
  <c r="AQ30" i="39" s="1"/>
  <c r="AQ29" i="38"/>
  <c r="R24" i="39"/>
  <c r="R30" i="39" s="1"/>
  <c r="R29" i="38"/>
  <c r="AG24" i="39"/>
  <c r="AG30" i="39" s="1"/>
  <c r="AG29" i="38"/>
  <c r="AQ31" i="38"/>
  <c r="AQ22" i="39"/>
  <c r="AQ28" i="39" s="1"/>
  <c r="AE22" i="39"/>
  <c r="AE28" i="39" s="1"/>
  <c r="AE31" i="38"/>
  <c r="Y22" i="39"/>
  <c r="Y28" i="39" s="1"/>
  <c r="Y31" i="38"/>
  <c r="AH31" i="38"/>
  <c r="AH22" i="39"/>
  <c r="AH28" i="39" s="1"/>
  <c r="N29" i="38"/>
  <c r="N24" i="39"/>
  <c r="N30" i="39" s="1"/>
  <c r="P24" i="39"/>
  <c r="P30" i="39" s="1"/>
  <c r="P29" i="38"/>
  <c r="AB24" i="39"/>
  <c r="AB30" i="39" s="1"/>
  <c r="AB29" i="38"/>
  <c r="Q29" i="38"/>
  <c r="Q24" i="39"/>
  <c r="Q30" i="39" s="1"/>
  <c r="AF29" i="38"/>
  <c r="AF24" i="39"/>
  <c r="AF30" i="39" s="1"/>
  <c r="S22" i="39"/>
  <c r="S28" i="39" s="1"/>
  <c r="S31" i="38"/>
  <c r="P31" i="38"/>
  <c r="P22" i="39"/>
  <c r="P28" i="39" s="1"/>
  <c r="U31" i="38"/>
  <c r="U22" i="39"/>
  <c r="U28" i="39" s="1"/>
  <c r="W31" i="38"/>
  <c r="W22" i="39"/>
  <c r="W28" i="39" s="1"/>
  <c r="AC31" i="38"/>
  <c r="AC22" i="39"/>
  <c r="AC28" i="39" s="1"/>
  <c r="AE24" i="39"/>
  <c r="AE30" i="39" s="1"/>
  <c r="AE29" i="38"/>
  <c r="AF31" i="38"/>
  <c r="AF22" i="39"/>
  <c r="AF28" i="39" s="1"/>
  <c r="AC24" i="39"/>
  <c r="AC30" i="39" s="1"/>
  <c r="AC29" i="38"/>
  <c r="AR29" i="38"/>
  <c r="AR24" i="39"/>
  <c r="AR30" i="39" s="1"/>
  <c r="Z24" i="39"/>
  <c r="Z30" i="39" s="1"/>
  <c r="Z29" i="38"/>
  <c r="O24" i="39"/>
  <c r="O30" i="39" s="1"/>
  <c r="O29" i="38"/>
  <c r="S24" i="39"/>
  <c r="S30" i="39" s="1"/>
  <c r="S29" i="38"/>
  <c r="AA24" i="39"/>
  <c r="AA30" i="39" s="1"/>
  <c r="AA29" i="38"/>
  <c r="AM22" i="39"/>
  <c r="AM28" i="39" s="1"/>
  <c r="AM31" i="38"/>
  <c r="AD22" i="39"/>
  <c r="AD28" i="39" s="1"/>
  <c r="AD31" i="38"/>
  <c r="M31" i="38"/>
  <c r="M22" i="39"/>
  <c r="M28" i="39" s="1"/>
  <c r="AA31" i="38"/>
  <c r="AA22" i="39"/>
  <c r="AA28" i="39" s="1"/>
  <c r="AL22" i="39"/>
  <c r="AL28" i="39" s="1"/>
  <c r="AL31" i="38"/>
  <c r="X31" i="38"/>
  <c r="X22" i="39"/>
  <c r="X28" i="39" s="1"/>
  <c r="L31" i="38"/>
  <c r="L22" i="39"/>
  <c r="L28" i="39" s="1"/>
  <c r="H55" i="38"/>
  <c r="U24" i="39"/>
  <c r="U30" i="39" s="1"/>
  <c r="U29" i="38"/>
  <c r="X24" i="39"/>
  <c r="X30" i="39" s="1"/>
  <c r="X29" i="38"/>
  <c r="M29" i="38"/>
  <c r="M24" i="39"/>
  <c r="M30" i="39" s="1"/>
  <c r="AL29" i="38"/>
  <c r="AL24" i="39"/>
  <c r="AL30" i="39" s="1"/>
  <c r="W29" i="38"/>
  <c r="W24" i="39"/>
  <c r="W30" i="39" s="1"/>
  <c r="AD29" i="38"/>
  <c r="AD24" i="39"/>
  <c r="AD30" i="39" s="1"/>
  <c r="V31" i="38"/>
  <c r="V22" i="39"/>
  <c r="V28" i="39" s="1"/>
  <c r="AK31" i="38"/>
  <c r="AK22" i="39"/>
  <c r="AK28" i="39" s="1"/>
  <c r="R22" i="39"/>
  <c r="R28" i="39" s="1"/>
  <c r="R31" i="38"/>
  <c r="AJ22" i="39"/>
  <c r="AJ28" i="39" s="1"/>
  <c r="AJ31" i="38"/>
  <c r="AR22" i="39"/>
  <c r="AR28" i="39" s="1"/>
  <c r="AR31" i="38"/>
  <c r="O22" i="39"/>
  <c r="O28" i="39" s="1"/>
  <c r="O31" i="38"/>
  <c r="AH24" i="39"/>
  <c r="AH30" i="39" s="1"/>
  <c r="AH29" i="38"/>
  <c r="L29" i="38"/>
  <c r="L24" i="39"/>
  <c r="L30" i="39" s="1"/>
  <c r="AP24" i="39"/>
  <c r="AP30" i="39" s="1"/>
  <c r="AP29" i="38"/>
  <c r="AJ24" i="39"/>
  <c r="AJ30" i="39" s="1"/>
  <c r="AJ29" i="38"/>
  <c r="AI29" i="38"/>
  <c r="AI24" i="39"/>
  <c r="AI30" i="39" s="1"/>
  <c r="J24" i="39"/>
  <c r="J30" i="39" s="1"/>
  <c r="J29" i="38"/>
  <c r="AI31" i="38"/>
  <c r="AI22" i="39"/>
  <c r="AI28" i="39" s="1"/>
  <c r="AN22" i="39"/>
  <c r="AN28" i="39" s="1"/>
  <c r="AN31" i="38"/>
  <c r="AG22" i="39"/>
  <c r="AG28" i="39" s="1"/>
  <c r="AG31" i="38"/>
  <c r="N31" i="38"/>
  <c r="N22" i="39"/>
  <c r="N28" i="39" s="1"/>
  <c r="Z31" i="38"/>
  <c r="Z22" i="39"/>
  <c r="Z28" i="39" s="1"/>
  <c r="Q22" i="39"/>
  <c r="Q28" i="39" s="1"/>
  <c r="Q31" i="38"/>
  <c r="V97" i="21"/>
  <c r="V148" i="21" s="1"/>
  <c r="R97" i="21"/>
  <c r="R148" i="21" s="1"/>
  <c r="AK97" i="21"/>
  <c r="AK148" i="21" s="1"/>
  <c r="L97" i="21"/>
  <c r="L148" i="21" s="1"/>
  <c r="J97" i="21"/>
  <c r="J148" i="21" s="1"/>
  <c r="AP97" i="21"/>
  <c r="AP148" i="21" s="1"/>
  <c r="AJ97" i="21"/>
  <c r="AJ148" i="21" s="1"/>
  <c r="T97" i="21"/>
  <c r="T148" i="21" s="1"/>
  <c r="AI97" i="21"/>
  <c r="AI148" i="21" s="1"/>
  <c r="Q97" i="21"/>
  <c r="Q148" i="21" s="1"/>
  <c r="AH97" i="21"/>
  <c r="AH148" i="21" s="1"/>
  <c r="N97" i="21"/>
  <c r="N148" i="21" s="1"/>
  <c r="AM97" i="21"/>
  <c r="AM148" i="21" s="1"/>
  <c r="AB97" i="21"/>
  <c r="AB148" i="21" s="1"/>
  <c r="P97" i="21"/>
  <c r="P148" i="21" s="1"/>
  <c r="AF97" i="21"/>
  <c r="AF148" i="21" s="1"/>
  <c r="S97" i="21"/>
  <c r="S148" i="21" s="1"/>
  <c r="K97" i="21"/>
  <c r="K148" i="21" s="1"/>
  <c r="M97" i="21"/>
  <c r="M148" i="21" s="1"/>
  <c r="Z97" i="21"/>
  <c r="Z148" i="21" s="1"/>
  <c r="W97" i="21"/>
  <c r="W148" i="21" s="1"/>
  <c r="AN97" i="21"/>
  <c r="AN148" i="21" s="1"/>
  <c r="AQ97" i="21"/>
  <c r="AQ148" i="21" s="1"/>
  <c r="Y97" i="21"/>
  <c r="Y148" i="21" s="1"/>
  <c r="O97" i="21"/>
  <c r="O148" i="21" s="1"/>
  <c r="AL97" i="21"/>
  <c r="AL148" i="21" s="1"/>
  <c r="AE97" i="21"/>
  <c r="AE148" i="21" s="1"/>
  <c r="AD97" i="21"/>
  <c r="AD148" i="21" s="1"/>
  <c r="AO97" i="21"/>
  <c r="AO148" i="21" s="1"/>
  <c r="U97" i="21"/>
  <c r="U148" i="21" s="1"/>
  <c r="AG97" i="21"/>
  <c r="AG148" i="21" s="1"/>
  <c r="AR97" i="21"/>
  <c r="AR148" i="21" s="1"/>
  <c r="X97" i="21"/>
  <c r="X148" i="21" s="1"/>
  <c r="AC97" i="21"/>
  <c r="AC148" i="21" s="1"/>
  <c r="AA97" i="21"/>
  <c r="AA148" i="21" s="1"/>
  <c r="H57" i="38"/>
  <c r="AR28" i="38" l="1"/>
  <c r="AR23" i="39"/>
  <c r="AR29" i="39" s="1"/>
  <c r="AL23" i="39"/>
  <c r="AL29" i="39" s="1"/>
  <c r="AL28" i="38"/>
  <c r="Z28" i="38"/>
  <c r="Z23" i="39"/>
  <c r="Z29" i="39" s="1"/>
  <c r="AB23" i="39"/>
  <c r="AB29" i="39" s="1"/>
  <c r="AB28" i="38"/>
  <c r="T23" i="39"/>
  <c r="T29" i="39" s="1"/>
  <c r="T28" i="38"/>
  <c r="R23" i="39"/>
  <c r="R29" i="39" s="1"/>
  <c r="R28" i="38"/>
  <c r="AG28" i="38"/>
  <c r="AG23" i="39"/>
  <c r="AG29" i="39" s="1"/>
  <c r="O23" i="39"/>
  <c r="O29" i="39" s="1"/>
  <c r="O28" i="38"/>
  <c r="M23" i="39"/>
  <c r="M29" i="39" s="1"/>
  <c r="M28" i="38"/>
  <c r="AM23" i="39"/>
  <c r="AM29" i="39" s="1"/>
  <c r="AM28" i="38"/>
  <c r="AJ28" i="38"/>
  <c r="AJ23" i="39"/>
  <c r="AJ29" i="39" s="1"/>
  <c r="V23" i="39"/>
  <c r="V29" i="39" s="1"/>
  <c r="V28" i="38"/>
  <c r="H63" i="20"/>
  <c r="H67" i="20" s="1"/>
  <c r="J45" i="22"/>
  <c r="U23" i="39"/>
  <c r="U29" i="39" s="1"/>
  <c r="U28" i="38"/>
  <c r="Y23" i="39"/>
  <c r="Y29" i="39" s="1"/>
  <c r="Y28" i="38"/>
  <c r="K23" i="39"/>
  <c r="K29" i="39" s="1"/>
  <c r="K28" i="38"/>
  <c r="N23" i="39"/>
  <c r="N29" i="39" s="1"/>
  <c r="N28" i="38"/>
  <c r="AP28" i="38"/>
  <c r="AP23" i="39"/>
  <c r="AP29" i="39" s="1"/>
  <c r="H54" i="38"/>
  <c r="AA23" i="39"/>
  <c r="AA29" i="39" s="1"/>
  <c r="AA28" i="38"/>
  <c r="AO28" i="38"/>
  <c r="AO23" i="39"/>
  <c r="AO29" i="39" s="1"/>
  <c r="AQ28" i="38"/>
  <c r="AQ23" i="39"/>
  <c r="AQ29" i="39" s="1"/>
  <c r="S23" i="39"/>
  <c r="S29" i="39" s="1"/>
  <c r="S28" i="38"/>
  <c r="AH28" i="38"/>
  <c r="AH23" i="39"/>
  <c r="AH29" i="39" s="1"/>
  <c r="J28" i="38"/>
  <c r="H155" i="21"/>
  <c r="J23" i="39"/>
  <c r="J29" i="39" s="1"/>
  <c r="H154" i="21"/>
  <c r="H46" i="39"/>
  <c r="H38" i="39"/>
  <c r="AC23" i="39"/>
  <c r="AC29" i="39" s="1"/>
  <c r="AC28" i="38"/>
  <c r="AD23" i="39"/>
  <c r="AD29" i="39" s="1"/>
  <c r="AD28" i="38"/>
  <c r="AN28" i="38"/>
  <c r="AN23" i="39"/>
  <c r="AN29" i="39" s="1"/>
  <c r="AF23" i="39"/>
  <c r="AF29" i="39" s="1"/>
  <c r="AF28" i="38"/>
  <c r="Q28" i="38"/>
  <c r="Q23" i="39"/>
  <c r="Q29" i="39" s="1"/>
  <c r="L23" i="39"/>
  <c r="L29" i="39" s="1"/>
  <c r="L28" i="38"/>
  <c r="H44" i="39"/>
  <c r="H50" i="39" s="1"/>
  <c r="H36" i="39"/>
  <c r="X28" i="38"/>
  <c r="X23" i="39"/>
  <c r="X29" i="39" s="1"/>
  <c r="AE23" i="39"/>
  <c r="AE29" i="39" s="1"/>
  <c r="AE28" i="38"/>
  <c r="W23" i="39"/>
  <c r="W29" i="39" s="1"/>
  <c r="W28" i="38"/>
  <c r="P23" i="39"/>
  <c r="P29" i="39" s="1"/>
  <c r="P28" i="38"/>
  <c r="AI23" i="39"/>
  <c r="AI29" i="39" s="1"/>
  <c r="AI28" i="38"/>
  <c r="AK23" i="39"/>
  <c r="AK29" i="39" s="1"/>
  <c r="AK28" i="38"/>
  <c r="H56" i="38"/>
  <c r="H159" i="21" l="1"/>
  <c r="H37" i="33"/>
  <c r="A4" i="20"/>
  <c r="H57" i="39"/>
  <c r="H30" i="24" s="1"/>
  <c r="H35" i="33"/>
  <c r="A4" i="21"/>
  <c r="H37" i="39"/>
  <c r="H45" i="39"/>
  <c r="H51" i="39" s="1"/>
  <c r="H58" i="39" s="1"/>
  <c r="H31" i="24" s="1"/>
  <c r="H53" i="38"/>
  <c r="H59" i="38" s="1"/>
  <c r="H53" i="39" l="1"/>
  <c r="H62" i="39" s="1"/>
  <c r="H60" i="38"/>
  <c r="H62" i="38"/>
  <c r="H63" i="38" s="1"/>
  <c r="H81" i="38" l="1"/>
  <c r="N43" i="22" s="1"/>
  <c r="H77" i="38"/>
  <c r="H79" i="38"/>
  <c r="L43" i="22" s="1"/>
  <c r="H78" i="38"/>
  <c r="K43" i="22" s="1"/>
  <c r="H80" i="38"/>
  <c r="M43" i="22" s="1"/>
  <c r="A4" i="39"/>
  <c r="H39" i="33"/>
  <c r="H83" i="38" l="1"/>
  <c r="H87" i="38" s="1"/>
  <c r="J43" i="22"/>
  <c r="N47" i="22"/>
  <c r="N70" i="22" s="1"/>
  <c r="N78" i="22"/>
  <c r="M47" i="22"/>
  <c r="M70" i="22" s="1"/>
  <c r="M84" i="22" s="1"/>
  <c r="M130" i="22" s="1"/>
  <c r="M78" i="22"/>
  <c r="K78" i="22"/>
  <c r="K47" i="22"/>
  <c r="K70" i="22" s="1"/>
  <c r="L47" i="22"/>
  <c r="L70" i="22" s="1"/>
  <c r="L78" i="22"/>
  <c r="K84" i="22" l="1"/>
  <c r="K130" i="22" s="1"/>
  <c r="L84" i="22"/>
  <c r="L130" i="22" s="1"/>
  <c r="N84" i="22"/>
  <c r="N130" i="22" s="1"/>
  <c r="J47" i="22"/>
  <c r="J78" i="22"/>
  <c r="H36" i="33"/>
  <c r="A4" i="38"/>
  <c r="J70" i="22" l="1"/>
  <c r="J84" i="22" s="1"/>
  <c r="J130" i="22" s="1"/>
  <c r="H49" i="22"/>
  <c r="H134" i="22" l="1"/>
  <c r="J146" i="22"/>
  <c r="H18" i="24" s="1"/>
  <c r="N146" i="22" l="1"/>
  <c r="H140" i="22"/>
  <c r="H150" i="22" s="1"/>
  <c r="M146" i="22"/>
  <c r="H21" i="24" s="1"/>
  <c r="K146" i="22"/>
  <c r="H19" i="24" s="1"/>
  <c r="L146" i="22"/>
  <c r="H20" i="24" s="1"/>
  <c r="H23" i="24" l="1"/>
  <c r="H43" i="24" s="1"/>
  <c r="H38" i="24"/>
  <c r="H22" i="23" s="1"/>
  <c r="H41" i="33"/>
  <c r="A4" i="24"/>
  <c r="H36" i="24"/>
  <c r="H20" i="23" s="1"/>
  <c r="H37" i="24"/>
  <c r="H21" i="23" s="1"/>
  <c r="H39" i="24"/>
  <c r="H23" i="23" s="1"/>
  <c r="H154" i="22"/>
  <c r="H188" i="22" s="1"/>
  <c r="A4" i="22" l="1"/>
  <c r="H38" i="33"/>
  <c r="H42" i="33"/>
  <c r="A4" i="33" s="1"/>
</calcChain>
</file>

<file path=xl/sharedStrings.xml><?xml version="1.0" encoding="utf-8"?>
<sst xmlns="http://schemas.openxmlformats.org/spreadsheetml/2006/main" count="2986" uniqueCount="793">
  <si>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</si>
  <si>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</si>
  <si>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</si>
  <si>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</si>
  <si>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</si>
  <si>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</si>
  <si>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</si>
  <si>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</si>
  <si>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</si>
  <si>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</si>
  <si>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</si>
  <si>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</si>
  <si>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</si>
  <si>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</si>
  <si>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</si>
  <si>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</si>
  <si>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</si>
  <si>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</si>
  <si>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</si>
  <si>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</si>
  <si>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</si>
  <si>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</si>
  <si>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</si>
  <si>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</si>
  <si>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</si>
  <si>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</si>
  <si>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</si>
  <si>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</si>
  <si>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</si>
  <si>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</si>
  <si>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</si>
  <si>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</si>
  <si>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</si>
  <si>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</si>
  <si>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</si>
  <si>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</si>
  <si>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</si>
  <si>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</si>
  <si>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</si>
  <si>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</si>
  <si>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</si>
  <si>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</si>
  <si>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</si>
  <si>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</si>
  <si>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</si>
  <si>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</si>
  <si>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</si>
  <si>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</si>
  <si>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</si>
  <si>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</si>
  <si>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</si>
  <si>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</si>
  <si>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</si>
  <si>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</si>
  <si>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</si>
  <si>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</si>
  <si>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</si>
  <si>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</si>
  <si>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</si>
  <si>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</si>
  <si>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</si>
  <si>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</si>
  <si>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</si>
  <si>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</si>
  <si>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</si>
  <si>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</si>
  <si>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</si>
  <si>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</si>
  <si>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</si>
  <si>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</si>
  <si>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</si>
  <si>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</si>
  <si>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</si>
  <si>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</si>
  <si>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</si>
  <si>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</si>
  <si>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</si>
  <si>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</si>
  <si>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</si>
  <si>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</si>
  <si>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</si>
  <si>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</si>
  <si>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</si>
  <si>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</si>
  <si>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</si>
  <si>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</si>
  <si>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</si>
  <si>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</si>
  <si>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</si>
  <si>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</si>
  <si>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</si>
  <si>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</si>
  <si>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</si>
  <si>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</si>
  <si>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</si>
  <si>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</si>
  <si>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</si>
  <si>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</si>
  <si>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</si>
  <si>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</si>
  <si>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</si>
  <si>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</si>
  <si>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</si>
  <si>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</si>
  <si>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</si>
  <si>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</si>
  <si>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</si>
  <si>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</si>
  <si>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</si>
  <si>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</si>
  <si>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</si>
  <si>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</si>
  <si>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</si>
  <si>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</si>
  <si>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</si>
  <si>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</si>
  <si>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</si>
  <si>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</si>
  <si>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</si>
  <si>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</si>
  <si>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</si>
  <si>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</si>
  <si>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</si>
  <si>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</si>
  <si>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</si>
  <si>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</si>
  <si>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</si>
  <si>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</si>
  <si>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</si>
  <si>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</si>
  <si>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</si>
  <si>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</si>
  <si>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</si>
  <si>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</si>
  <si>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</si>
  <si>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</si>
  <si>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</si>
  <si>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</si>
  <si>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</si>
  <si>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</si>
  <si>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</si>
  <si>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</si>
  <si>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</si>
  <si>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</si>
  <si>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</si>
  <si>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</si>
  <si>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</si>
  <si>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</si>
  <si>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</si>
  <si>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</si>
  <si>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</si>
  <si>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</si>
  <si>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</si>
  <si>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</si>
  <si>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</si>
  <si>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</si>
  <si>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</si>
  <si>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</si>
  <si>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</si>
  <si>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</si>
  <si>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</si>
  <si>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</si>
  <si>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</si>
  <si>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</si>
  <si>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</si>
  <si>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</si>
  <si>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</si>
  <si>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</si>
  <si>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</si>
  <si>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</si>
  <si>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</si>
  <si>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</si>
  <si>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</si>
  <si>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</si>
  <si>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</si>
  <si>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</si>
  <si>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</si>
  <si>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</si>
  <si>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</si>
  <si>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</si>
  <si>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</si>
  <si>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</si>
  <si>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</si>
  <si>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</si>
  <si>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</si>
  <si>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</si>
  <si>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</si>
  <si>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</si>
  <si>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</si>
  <si>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</si>
  <si>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</si>
  <si>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</si>
  <si>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</si>
  <si>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</si>
  <si>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</si>
  <si>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</si>
  <si>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</si>
  <si>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</si>
  <si>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</si>
  <si>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</si>
  <si>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</si>
  <si>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</si>
  <si>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</si>
  <si>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</si>
  <si>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</si>
  <si>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</si>
  <si>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</si>
  <si>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</si>
  <si>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</si>
  <si>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</si>
  <si>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</si>
  <si>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</si>
  <si>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</si>
  <si>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</si>
  <si>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</si>
  <si>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</si>
  <si>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</si>
  <si>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</si>
  <si>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</si>
  <si>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</si>
  <si>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</si>
  <si>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</si>
  <si>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</si>
  <si>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</si>
  <si>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</si>
  <si>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</si>
  <si>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</si>
  <si>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</si>
  <si>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</si>
  <si>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</si>
  <si>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</si>
  <si>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</si>
  <si>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</si>
  <si>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</si>
  <si>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</si>
  <si>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</si>
  <si>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</si>
  <si>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</si>
  <si>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</si>
  <si>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</si>
  <si>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</si>
  <si>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</si>
  <si>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</si>
  <si>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</si>
  <si>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</si>
  <si>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</si>
  <si>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</si>
  <si>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</si>
  <si>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</si>
  <si>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</si>
  <si>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</si>
  <si>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</si>
  <si>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</si>
  <si>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</si>
  <si>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</si>
  <si>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</si>
  <si>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</si>
  <si>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</si>
  <si>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</si>
  <si>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</si>
  <si>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</si>
  <si>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</si>
  <si>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</si>
  <si>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</si>
  <si>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</si>
  <si>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</si>
  <si>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</si>
  <si>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</si>
  <si>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</si>
  <si>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</si>
  <si>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</si>
  <si>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</si>
  <si>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</si>
  <si>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</si>
  <si>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</si>
  <si>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</si>
  <si>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</si>
  <si>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</si>
  <si>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</si>
  <si>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</si>
  <si>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</si>
  <si>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</si>
  <si>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</si>
  <si>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</si>
  <si>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</si>
  <si>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</si>
  <si>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</si>
  <si>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</si>
  <si>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</si>
  <si>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</si>
  <si>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</si>
  <si>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</si>
  <si>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</si>
  <si>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</si>
  <si>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</si>
  <si>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</si>
  <si>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</si>
  <si>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</si>
  <si>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</si>
  <si>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</si>
  <si>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</si>
  <si>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</si>
  <si>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</si>
  <si>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</si>
  <si>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</si>
  <si>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</si>
  <si>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</si>
  <si>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</si>
  <si>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</si>
  <si>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</si>
  <si>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</si>
  <si>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</si>
  <si>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</si>
  <si>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</si>
  <si>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</si>
  <si>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</si>
  <si>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</si>
  <si>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</si>
  <si>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</si>
  <si>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</si>
  <si>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</si>
  <si>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</si>
  <si>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</si>
  <si>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</si>
  <si>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</si>
  <si>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</si>
  <si>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</si>
  <si>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</si>
  <si>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</si>
  <si>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</si>
  <si>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</si>
  <si>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</si>
  <si>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</si>
  <si>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</si>
  <si>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</si>
  <si>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</si>
  <si>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</si>
  <si>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</si>
  <si>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</si>
  <si>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</si>
  <si>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</si>
  <si>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</si>
  <si>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</si>
  <si>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</si>
  <si>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</si>
  <si>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</si>
  <si>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</si>
  <si>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</si>
  <si>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</si>
  <si>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</si>
  <si>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</si>
  <si>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</si>
  <si>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</si>
  <si>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</si>
  <si>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</si>
  <si>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</si>
  <si>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</si>
  <si>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</si>
  <si>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</si>
  <si>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</si>
  <si>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</si>
  <si>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</si>
  <si>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</si>
  <si>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</si>
  <si>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</si>
  <si>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</si>
  <si>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</si>
  <si>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</si>
  <si>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</si>
  <si>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</si>
  <si>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</si>
  <si>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</si>
  <si>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</si>
  <si>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</si>
  <si>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</si>
  <si>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</si>
  <si>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</si>
  <si>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</si>
  <si>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</si>
  <si>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</si>
  <si>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</si>
  <si>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</si>
  <si>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</si>
  <si>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</si>
  <si>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</si>
  <si>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</si>
  <si>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</si>
  <si>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</si>
  <si>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</si>
  <si>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</si>
  <si>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</si>
  <si>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</si>
  <si>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</si>
  <si>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</si>
  <si>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</si>
  <si>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</si>
  <si>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</si>
  <si>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</si>
  <si>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</si>
  <si>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</si>
  <si>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</si>
  <si>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</si>
  <si>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</si>
  <si>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</si>
  <si>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</si>
  <si>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</si>
  <si>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</si>
  <si>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</si>
  <si>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</si>
  <si>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</si>
  <si>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</si>
  <si>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</si>
  <si>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</si>
  <si>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</si>
  <si>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</si>
  <si>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</si>
  <si>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</si>
  <si>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</si>
  <si>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</si>
  <si>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</si>
  <si>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</si>
  <si>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</si>
  <si>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</si>
  <si>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</si>
  <si>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</si>
  <si>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</si>
  <si>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</si>
  <si>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</si>
  <si>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</si>
  <si>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</si>
  <si>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</si>
  <si>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</si>
  <si>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</si>
  <si>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</si>
  <si>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</si>
  <si>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</si>
  <si>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</si>
  <si>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</si>
  <si>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</si>
  <si>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</si>
  <si>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</si>
  <si>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</si>
  <si>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</si>
  <si>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</si>
  <si>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</si>
  <si>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</si>
  <si>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</si>
  <si>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</si>
  <si>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</si>
  <si>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</si>
  <si>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</si>
  <si>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</si>
  <si>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</si>
  <si>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</si>
  <si>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</si>
  <si>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</si>
  <si>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</si>
  <si>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</si>
  <si>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</si>
  <si>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</si>
  <si>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</si>
  <si>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</si>
  <si>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</si>
  <si>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</si>
  <si>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</si>
  <si>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</si>
  <si>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</si>
  <si>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</si>
  <si>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</si>
  <si>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</si>
  <si>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</si>
  <si>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</si>
  <si>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</si>
  <si>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</si>
  <si>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</si>
  <si>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</si>
  <si>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</si>
  <si>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</si>
  <si>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</si>
  <si>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</si>
  <si>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</si>
  <si>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</si>
  <si>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</si>
  <si>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</si>
  <si>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</si>
  <si>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</si>
  <si>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</si>
  <si>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</si>
  <si>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</si>
  <si>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</si>
  <si>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</si>
  <si>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</si>
  <si>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</si>
  <si>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</si>
  <si>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</si>
  <si>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</si>
  <si>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</si>
  <si>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</si>
  <si>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</si>
  <si>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</si>
  <si>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</si>
  <si>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</si>
  <si>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</si>
  <si>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</si>
  <si>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</si>
  <si>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</si>
  <si>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</si>
  <si>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</si>
  <si>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</si>
  <si>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</si>
  <si>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</si>
  <si>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</si>
  <si>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</si>
  <si>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</si>
  <si>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</si>
  <si>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</si>
  <si>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</si>
  <si>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</si>
  <si>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</si>
  <si>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</si>
  <si>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</si>
  <si>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</si>
  <si>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</si>
  <si>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</si>
  <si>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</si>
  <si>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</si>
  <si>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</si>
  <si>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</si>
  <si>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</si>
  <si>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</si>
  <si>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</si>
  <si>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</si>
  <si>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</si>
  <si>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</si>
  <si>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</si>
  <si>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</si>
  <si>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</si>
  <si>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</si>
  <si>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</si>
  <si>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</si>
  <si>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</si>
  <si>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</si>
  <si>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</si>
  <si>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</si>
  <si>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</si>
  <si>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</si>
  <si>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</si>
  <si>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</si>
  <si>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</si>
  <si>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</si>
  <si>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</si>
  <si>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</si>
  <si>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</si>
  <si>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</si>
  <si>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</si>
  <si>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</si>
  <si>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</si>
  <si>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</si>
  <si>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</si>
  <si>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</si>
  <si>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</si>
  <si>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</si>
  <si>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</si>
  <si>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</si>
  <si>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</si>
  <si>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</si>
  <si>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</si>
  <si>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</si>
  <si>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</si>
  <si>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</si>
  <si>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</si>
  <si>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</si>
  <si>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</si>
  <si>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</si>
  <si>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</si>
  <si>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</si>
  <si>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</si>
  <si>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</si>
  <si>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</si>
  <si>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</si>
  <si>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</si>
  <si>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</si>
  <si>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</si>
  <si>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</si>
  <si>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</si>
  <si>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</si>
  <si>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</si>
  <si>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</si>
  <si>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</si>
  <si>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</si>
  <si>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</si>
  <si>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</si>
  <si>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</si>
  <si>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</si>
  <si>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</si>
  <si>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</si>
  <si>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</si>
  <si>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</si>
  <si>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</si>
  <si>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</si>
  <si>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</si>
  <si>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</si>
  <si>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</si>
  <si>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</si>
  <si>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</si>
  <si>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</si>
  <si>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</si>
  <si>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</si>
  <si>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</si>
  <si>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</si>
  <si>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</si>
  <si>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</si>
  <si>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</si>
  <si>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</si>
  <si>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</si>
  <si>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</si>
  <si>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</si>
  <si>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</si>
  <si>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</si>
  <si>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</si>
  <si>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</si>
  <si>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</si>
  <si>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</si>
  <si>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</si>
  <si>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</si>
  <si>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</si>
  <si>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</si>
  <si>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</si>
  <si>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</si>
  <si>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</si>
  <si>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</si>
  <si>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</si>
  <si>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</si>
  <si>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</si>
  <si>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</si>
  <si>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</si>
  <si>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</si>
  <si>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</si>
  <si>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</si>
  <si>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</si>
  <si>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</si>
  <si>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</si>
  <si>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</si>
  <si>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</si>
  <si>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</si>
  <si>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</si>
  <si>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</si>
  <si>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</si>
  <si>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</si>
  <si>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</si>
  <si>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</si>
  <si>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</si>
  <si>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</si>
  <si>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</si>
  <si>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</si>
  <si>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</si>
  <si>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</si>
  <si>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</si>
  <si>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</si>
  <si>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</si>
  <si>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</si>
  <si>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</si>
  <si>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</si>
  <si>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</si>
  <si>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</si>
  <si>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</si>
  <si>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</si>
  <si>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</si>
  <si>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</si>
  <si>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</si>
  <si>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</si>
  <si>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</si>
  <si>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</si>
  <si>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</si>
  <si>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</si>
  <si>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</si>
  <si>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</si>
  <si>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</si>
  <si>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</si>
  <si>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</si>
  <si>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</si>
  <si>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</si>
  <si>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</si>
  <si>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</si>
  <si>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</si>
  <si>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</si>
  <si>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</si>
  <si>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</si>
  <si>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</si>
  <si>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</si>
  <si>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</si>
  <si>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</si>
  <si>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</si>
  <si>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</si>
  <si>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</si>
  <si>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</si>
  <si>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</si>
  <si>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</si>
  <si>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</si>
  <si>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</si>
  <si>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</si>
  <si>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</si>
  <si>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</si>
  <si>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</si>
  <si>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</si>
  <si>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</si>
  <si>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</si>
  <si>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</si>
  <si>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</si>
  <si>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</si>
  <si>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</si>
  <si>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</si>
  <si>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</si>
  <si>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</si>
  <si>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</si>
  <si>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</si>
  <si>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</si>
  <si>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</si>
  <si>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</si>
  <si>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</si>
  <si>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</si>
  <si>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</si>
  <si>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</si>
  <si>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</si>
  <si>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</si>
  <si>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</si>
  <si>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</si>
  <si>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</si>
  <si>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</si>
  <si>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</si>
  <si>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</si>
  <si>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</si>
  <si>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</si>
  <si>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</si>
  <si>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</si>
  <si>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</si>
  <si>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</si>
  <si>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</si>
  <si>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</si>
  <si>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</si>
  <si>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</si>
  <si>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</si>
  <si>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</si>
  <si>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</si>
  <si>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</si>
  <si>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</si>
  <si>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</si>
  <si>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</si>
  <si>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</si>
  <si>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</si>
  <si>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</si>
  <si>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</si>
  <si>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</si>
  <si>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</si>
  <si>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</si>
  <si>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</si>
  <si>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</si>
  <si>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</si>
  <si>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</si>
  <si>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</si>
  <si>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</si>
  <si>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</si>
  <si>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</si>
  <si>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</si>
  <si>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</si>
  <si>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</si>
  <si>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</si>
  <si>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</si>
  <si>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</si>
  <si>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</si>
  <si>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</si>
  <si>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</si>
  <si>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</si>
  <si>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</si>
  <si>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</si>
  <si>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</si>
  <si>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</si>
  <si>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</si>
  <si>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</si>
  <si>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</si>
  <si>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</si>
  <si>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</si>
  <si>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</si>
  <si>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</si>
  <si>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</si>
  <si>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</si>
  <si>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Release for 2024/25 charge setting</t>
  </si>
  <si>
    <t>2024/25</t>
  </si>
  <si>
    <t>Attachment A_2024-25 Charging Methodologies Pre-Release (shared 06/10/2022)</t>
  </si>
  <si>
    <t>Release for charge setting including DCP 395.</t>
  </si>
  <si>
    <t>Price index adjuster (inverted)</t>
  </si>
  <si>
    <t>Final</t>
  </si>
  <si>
    <t>National Grid Electricity Distribution (West Midlands)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</si>
</sst>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;\-#,##0.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3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168" fontId="0" fillId="0" borderId="0" xfId="0" applyNumberFormat="1" applyAlignment="1">
      <alignment vertical="center"/>
    </xf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8" fillId="4" borderId="0" xfId="5" applyNumberFormat="1" applyAlignment="1">
      <alignment horizontal="left" vertical="center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10" fontId="7" fillId="44" borderId="19" xfId="63" applyNumberFormat="1" applyFont="1" applyBorder="1" applyAlignment="1">
      <alignment horizontal="right"/>
    </xf>
    <xf numFmtId="0" fontId="1" fillId="0" borderId="0" xfId="16" applyNumberFormat="1" applyBorder="1" applyAlignment="1">
      <alignment horizontal="left"/>
    </xf>
    <xf numFmtId="10" fontId="7" fillId="44" borderId="0" xfId="63" applyNumberFormat="1" applyFont="1" applyBorder="1" applyAlignment="1">
      <alignment horizontal="right"/>
    </xf>
    <xf numFmtId="0" fontId="1" fillId="0" borderId="20" xfId="16" applyNumberFormat="1" applyBorder="1" applyAlignment="1">
      <alignment horizontal="left"/>
    </xf>
    <xf numFmtId="10" fontId="7" fillId="44" borderId="20" xfId="63" applyNumberFormat="1" applyFont="1" applyBorder="1" applyAlignment="1">
      <alignment horizontal="right"/>
    </xf>
    <xf numFmtId="0" fontId="6" fillId="0" borderId="0" xfId="9" applyNumberFormat="1" applyAlignment="1">
      <alignment horizontal="left"/>
    </xf>
    <xf numFmtId="0" fontId="1" fillId="0" borderId="0" xfId="16" applyNumberFormat="1" applyAlignment="1">
      <alignment horizontal="left"/>
    </xf>
    <xf numFmtId="0" fontId="1" fillId="0" borderId="0" xfId="16" applyNumberFormat="1" applyFill="1" applyBorder="1" applyAlignment="1">
      <alignment horizontal="left"/>
    </xf>
    <xf numFmtId="0" fontId="7" fillId="0" borderId="0" xfId="63" applyNumberFormat="1" applyFont="1" applyFill="1" applyBorder="1" applyAlignment="1">
      <alignment horizontal="right"/>
    </xf>
    <xf numFmtId="0" fontId="8" fillId="4" borderId="0" xfId="5" applyNumberFormat="1" applyAlignment="1">
      <alignment horizontal="right" vertical="center"/>
    </xf>
    <xf numFmtId="169" fontId="0" fillId="0" borderId="0" xfId="0" applyNumberFormat="1" applyAlignment="1">
      <alignment horizontal="righ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0" fontId="0" fillId="0" borderId="19" xfId="0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3" borderId="20" xfId="4" applyNumberFormat="1" applyBorder="1" applyAlignment="1">
      <alignment horizontal="right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0" fontId="1" fillId="0" borderId="0" xfId="16" applyNumberFormat="1" applyBorder="1" applyAlignment="1">
      <alignment horizontal="left" vertical="center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0" fontId="14" fillId="0" borderId="0" xfId="11" applyNumberFormat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0" borderId="18" xfId="15" applyNumberFormat="1" applyBorder="1" applyAlignment="1">
      <alignment horizontal="right"/>
    </xf>
    <xf numFmtId="0" fontId="1" fillId="0" borderId="19" xfId="16" quotePrefix="1" applyNumberFormat="1" applyBorder="1" applyAlignment="1">
      <alignment horizontal="left"/>
    </xf>
    <xf numFmtId="10" fontId="7" fillId="44" borderId="19" xfId="63" quotePrefix="1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>
      <alignment horizontal="left"/>
    </xf>
    <xf numFmtId="169" fontId="30" fillId="0" borderId="18" xfId="7" applyNumberFormat="1" applyBorder="1" applyAlignment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2" fillId="6" borderId="0" xfId="12"/>
    <xf numFmtId="0" fontId="1" fillId="46" borderId="0" xfId="14" applyAlignment="1" applyProtection="1">
      <protection locked="0"/>
    </xf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opLeftCell="A7" zoomScale="80" zoomScaleNormal="80" workbookViewId="0">
      <selection activeCell="D21" sqref="D21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9"/>
    </row>
    <row r="2" spans="2:4" ht="28.5" x14ac:dyDescent="0.25">
      <c r="B2" s="39"/>
      <c r="D2" s="40" t="s">
        <v>0</v>
      </c>
    </row>
    <row r="3" spans="2:4" ht="15" customHeight="1" x14ac:dyDescent="0.25">
      <c r="B3" s="39"/>
    </row>
    <row r="4" spans="2:4" ht="21" x14ac:dyDescent="0.25">
      <c r="B4" s="39"/>
      <c r="D4" s="186" t="s">
        <v>786</v>
      </c>
    </row>
    <row r="5" spans="2:4" x14ac:dyDescent="0.25">
      <c r="B5" s="39"/>
    </row>
    <row r="6" spans="2:4" x14ac:dyDescent="0.25">
      <c r="B6" s="41" t="str">
        <f>'Version control'!F7</f>
        <v>Model date:</v>
      </c>
      <c r="D6" s="42">
        <f>'Version control'!H7</f>
        <v>44861</v>
      </c>
    </row>
    <row r="7" spans="2:4" ht="15" customHeight="1" x14ac:dyDescent="0.25">
      <c r="B7" s="39"/>
    </row>
    <row r="8" spans="2:4" ht="15" customHeight="1" x14ac:dyDescent="0.25">
      <c r="B8" s="41" t="str">
        <f>'Version control'!F9</f>
        <v>Development stage:</v>
      </c>
      <c r="D8" s="43" t="str">
        <f>'Version control'!H9</f>
        <v>Release for charge setting</v>
      </c>
    </row>
    <row r="9" spans="2:4" ht="15" customHeight="1" x14ac:dyDescent="0.25">
      <c r="B9" s="39"/>
    </row>
    <row r="10" spans="2:4" ht="15" customHeight="1" x14ac:dyDescent="0.25">
      <c r="B10" s="41" t="str">
        <f>'Version control'!F11</f>
        <v>Model number:</v>
      </c>
      <c r="D10" s="43">
        <f>'Version control'!H11</f>
        <v>5</v>
      </c>
    </row>
    <row r="11" spans="2:4" ht="15" customHeight="1" x14ac:dyDescent="0.25">
      <c r="B11" s="39"/>
    </row>
    <row r="12" spans="2:4" ht="15" customHeight="1" x14ac:dyDescent="0.25">
      <c r="B12" s="41" t="str">
        <f>'Version control'!F13</f>
        <v>DCUSA text version:</v>
      </c>
      <c r="D12" s="43" t="str">
        <f>'Version control'!H13</f>
        <v>Attachment A_2024-25 Charging Methodologies Pre-Release (shared 06/10/2022)</v>
      </c>
    </row>
    <row r="13" spans="2:4" ht="15" customHeight="1" x14ac:dyDescent="0.25">
      <c r="B13" s="41"/>
      <c r="D13" s="43"/>
    </row>
    <row r="14" spans="2:4" ht="15" customHeight="1" x14ac:dyDescent="0.25">
      <c r="B14" s="41" t="str">
        <f>'Version control'!F15</f>
        <v>DCUSA text schedule:</v>
      </c>
      <c r="D14" s="43" t="str">
        <f>'Version control'!H15</f>
        <v>Schedule 29</v>
      </c>
    </row>
    <row r="15" spans="2:4" ht="15" customHeight="1" x14ac:dyDescent="0.25">
      <c r="B15" s="39"/>
    </row>
    <row r="16" spans="2:4" ht="30" x14ac:dyDescent="0.25">
      <c r="B16" s="41" t="s">
        <v>4</v>
      </c>
      <c r="D16" s="44" t="s">
        <v>742</v>
      </c>
    </row>
    <row r="17" spans="2:4" x14ac:dyDescent="0.25">
      <c r="B17" s="39"/>
      <c r="D17" s="44" t="s">
        <v>712</v>
      </c>
    </row>
    <row r="18" spans="2:4" x14ac:dyDescent="0.25">
      <c r="B18" s="39"/>
    </row>
    <row r="19" spans="2:4" ht="15" customHeight="1" x14ac:dyDescent="0.25">
      <c r="B19" s="41" t="s">
        <v>1</v>
      </c>
      <c r="D19" s="193" t="s">
        <v>787</v>
      </c>
    </row>
    <row r="20" spans="2:4" ht="15" customHeight="1" x14ac:dyDescent="0.25">
      <c r="B20" s="39"/>
    </row>
    <row r="21" spans="2:4" ht="15" customHeight="1" x14ac:dyDescent="0.25">
      <c r="B21" s="41" t="s">
        <v>2</v>
      </c>
      <c r="D21" s="193" t="s">
        <v>792</v>
      </c>
    </row>
    <row r="22" spans="2:4" ht="15" customHeight="1" x14ac:dyDescent="0.25">
      <c r="B22" s="39"/>
    </row>
    <row r="23" spans="2:4" ht="15" customHeight="1" x14ac:dyDescent="0.25">
      <c r="B23" s="41" t="s">
        <v>3</v>
      </c>
      <c r="D23" s="193" t="s">
        <v>791</v>
      </c>
    </row>
    <row r="24" spans="2:4" ht="15" customHeight="1" x14ac:dyDescent="0.25">
      <c r="B24" s="39"/>
    </row>
    <row r="25" spans="2:4" ht="30" customHeight="1" x14ac:dyDescent="0.25">
      <c r="B25" s="41" t="s">
        <v>11</v>
      </c>
      <c r="D25" s="16" t="s">
        <v>564</v>
      </c>
    </row>
    <row r="26" spans="2:4" ht="15" customHeight="1" x14ac:dyDescent="0.25">
      <c r="B26" s="39"/>
    </row>
    <row r="27" spans="2:4" ht="15" customHeight="1" x14ac:dyDescent="0.25">
      <c r="B27" s="41" t="s">
        <v>5</v>
      </c>
    </row>
    <row r="28" spans="2:4" ht="15" customHeight="1" x14ac:dyDescent="0.25">
      <c r="B28" s="45" t="s">
        <v>6</v>
      </c>
      <c r="C28" s="5"/>
      <c r="D28" s="5" t="s">
        <v>7</v>
      </c>
    </row>
    <row r="29" spans="2:4" x14ac:dyDescent="0.25">
      <c r="B29" s="46"/>
      <c r="C29" s="47"/>
      <c r="D29" s="47" t="s">
        <v>9</v>
      </c>
    </row>
    <row r="30" spans="2:4" x14ac:dyDescent="0.25">
      <c r="B30" s="17" t="s">
        <v>265</v>
      </c>
      <c r="D30" t="s">
        <v>8</v>
      </c>
    </row>
    <row r="31" spans="2:4" x14ac:dyDescent="0.25">
      <c r="B31" s="18" t="s">
        <v>265</v>
      </c>
      <c r="D31" t="s">
        <v>264</v>
      </c>
    </row>
    <row r="32" spans="2:4" x14ac:dyDescent="0.25">
      <c r="B32" s="19" t="s">
        <v>265</v>
      </c>
      <c r="D32" t="s">
        <v>511</v>
      </c>
    </row>
    <row r="33" spans="2:4" x14ac:dyDescent="0.25">
      <c r="B33" s="48" t="s">
        <v>265</v>
      </c>
      <c r="D33" t="s">
        <v>10</v>
      </c>
    </row>
    <row r="34" spans="2:4" x14ac:dyDescent="0.25">
      <c r="B34" s="49" t="s">
        <v>265</v>
      </c>
      <c r="D34" t="s">
        <v>478</v>
      </c>
    </row>
    <row r="35" spans="2:4" x14ac:dyDescent="0.25">
      <c r="B35" s="50" t="s">
        <v>265</v>
      </c>
      <c r="D35" t="s">
        <v>479</v>
      </c>
    </row>
    <row r="36" spans="2:4" x14ac:dyDescent="0.25">
      <c r="B36" s="51" t="s">
        <v>265</v>
      </c>
      <c r="D36" t="s">
        <v>494</v>
      </c>
    </row>
    <row r="37" spans="2:4" x14ac:dyDescent="0.25">
      <c r="B37" s="52" t="s">
        <v>477</v>
      </c>
      <c r="D37" t="s">
        <v>480</v>
      </c>
    </row>
    <row r="38" spans="2:4" ht="15" customHeight="1" x14ac:dyDescent="0.25">
      <c r="B38" s="53" t="s">
        <v>477</v>
      </c>
      <c r="D38" t="s">
        <v>481</v>
      </c>
    </row>
    <row r="39" spans="2:4" ht="15" customHeight="1" x14ac:dyDescent="0.25">
      <c r="B39" s="5" t="s">
        <v>477</v>
      </c>
      <c r="D39" t="s">
        <v>482</v>
      </c>
    </row>
    <row r="40" spans="2:4" ht="15" customHeight="1" x14ac:dyDescent="0.25">
      <c r="B40" s="54" t="s">
        <v>477</v>
      </c>
      <c r="D40" t="s">
        <v>507</v>
      </c>
    </row>
    <row r="41" spans="2:4" ht="15" customHeight="1" x14ac:dyDescent="0.25">
      <c r="B41" s="55" t="s">
        <v>477</v>
      </c>
      <c r="D41" t="s">
        <v>508</v>
      </c>
    </row>
    <row r="42" spans="2:4" ht="15" customHeight="1" x14ac:dyDescent="0.25">
      <c r="B42" s="56" t="s">
        <v>477</v>
      </c>
      <c r="D42" t="s">
        <v>509</v>
      </c>
    </row>
    <row r="43" spans="2:4" ht="15" customHeight="1" x14ac:dyDescent="0.25">
      <c r="B43" s="57" t="s">
        <v>506</v>
      </c>
      <c r="D43" t="s">
        <v>510</v>
      </c>
    </row>
    <row r="44" spans="2:4" ht="15" customHeight="1" x14ac:dyDescent="0.25">
      <c r="B44" s="58" t="s">
        <v>506</v>
      </c>
      <c r="D44" t="s">
        <v>489</v>
      </c>
    </row>
    <row r="45" spans="2:4" ht="15" customHeight="1" x14ac:dyDescent="0.25">
      <c r="B45" s="59" t="s">
        <v>506</v>
      </c>
      <c r="D45" t="s">
        <v>490</v>
      </c>
    </row>
    <row r="46" spans="2:4" ht="15" customHeight="1" x14ac:dyDescent="0.25">
      <c r="B46" s="60" t="s">
        <v>506</v>
      </c>
      <c r="C46" s="61"/>
      <c r="D46" s="61" t="s">
        <v>491</v>
      </c>
    </row>
  </sheetData>
  <sheetProtection sheet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Capitalised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H67 &amp; IF(H67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95"/>
      <c r="D8" s="95"/>
      <c r="E8" s="95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441</v>
      </c>
      <c r="D9" s="95"/>
      <c r="E9" s="95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442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</row>
    <row r="11" spans="1:17" x14ac:dyDescent="0.25">
      <c r="A11" s="39"/>
      <c r="B11" s="39"/>
      <c r="C11" s="95" t="s">
        <v>718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  <c r="Q11" s="65"/>
    </row>
    <row r="12" spans="1:1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39"/>
    </row>
    <row r="13" spans="1:17" x14ac:dyDescent="0.25">
      <c r="A13" s="39"/>
      <c r="B13" s="93" t="s">
        <v>251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3"/>
    </row>
    <row r="14" spans="1:17" x14ac:dyDescent="0.25">
      <c r="A14" s="39"/>
      <c r="B14" s="39"/>
      <c r="C14" s="95"/>
      <c r="D14" s="95"/>
      <c r="E14" s="95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 t="s">
        <v>443</v>
      </c>
      <c r="D15" s="95"/>
      <c r="E15" s="95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5" t="s">
        <v>444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39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96" t="s">
        <v>704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6"/>
    </row>
    <row r="19" spans="1:16" x14ac:dyDescent="0.25">
      <c r="A19" s="39"/>
      <c r="B19" s="39"/>
      <c r="C19" s="95"/>
      <c r="D19" s="95"/>
      <c r="E19" s="95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39"/>
    </row>
    <row r="20" spans="1:16" x14ac:dyDescent="0.25">
      <c r="A20" s="39"/>
      <c r="B20" s="39"/>
      <c r="C20" s="39"/>
      <c r="D20" s="95"/>
      <c r="E20" s="98" t="str">
        <f>'DNO inputs'!E357</f>
        <v>Net capex (2005/06 to 2014/15), by network level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39"/>
    </row>
    <row r="21" spans="1:16" x14ac:dyDescent="0.25">
      <c r="A21" s="39"/>
      <c r="B21" s="39"/>
      <c r="C21" s="39"/>
      <c r="D21" s="39"/>
      <c r="E21" s="39"/>
      <c r="F21" s="99" t="str">
        <f>'DNO inputs'!F358</f>
        <v>LV</v>
      </c>
      <c r="G21" s="99" t="str">
        <f>'DNO inputs'!G358</f>
        <v>£</v>
      </c>
      <c r="H21" s="136">
        <f>'DNO inputs'!H358</f>
        <v>166879895.26277938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101" t="str">
        <f>'DNO inputs'!F359</f>
        <v>LV/HV</v>
      </c>
      <c r="G22" s="101" t="str">
        <f>'DNO inputs'!G359</f>
        <v>£</v>
      </c>
      <c r="H22" s="132">
        <f>'DNO inputs'!H359</f>
        <v>50467924.447354972</v>
      </c>
      <c r="I22" s="110"/>
      <c r="J22" s="110"/>
      <c r="K22" s="110"/>
      <c r="L22" s="110"/>
      <c r="M22" s="110"/>
      <c r="N22" s="110"/>
      <c r="O22" s="65"/>
      <c r="P22" s="39"/>
    </row>
    <row r="23" spans="1:16" x14ac:dyDescent="0.25">
      <c r="A23" s="39"/>
      <c r="B23" s="39"/>
      <c r="C23" s="39"/>
      <c r="D23" s="39"/>
      <c r="E23" s="39"/>
      <c r="F23" s="101" t="str">
        <f>'DNO inputs'!F360</f>
        <v>HV</v>
      </c>
      <c r="G23" s="101" t="str">
        <f>'DNO inputs'!G360</f>
        <v>£</v>
      </c>
      <c r="H23" s="132">
        <f>'DNO inputs'!H360</f>
        <v>195577295.74351519</v>
      </c>
      <c r="I23" s="110"/>
      <c r="J23" s="110"/>
      <c r="K23" s="110"/>
      <c r="L23" s="110"/>
      <c r="M23" s="110"/>
      <c r="N23" s="110"/>
      <c r="O23" s="65"/>
      <c r="P23" s="39"/>
    </row>
    <row r="24" spans="1:16" x14ac:dyDescent="0.25">
      <c r="A24" s="39"/>
      <c r="B24" s="39"/>
      <c r="C24" s="39"/>
      <c r="D24" s="39"/>
      <c r="E24" s="39"/>
      <c r="F24" s="101" t="str">
        <f>'DNO inputs'!F361</f>
        <v>EHV</v>
      </c>
      <c r="G24" s="101" t="str">
        <f>'DNO inputs'!G361</f>
        <v>£</v>
      </c>
      <c r="H24" s="132">
        <f>'DNO inputs'!H361</f>
        <v>187024482.49234807</v>
      </c>
      <c r="I24" s="110"/>
      <c r="J24" s="110"/>
      <c r="K24" s="110"/>
      <c r="L24" s="110"/>
      <c r="M24" s="110"/>
      <c r="N24" s="110"/>
      <c r="O24" s="65"/>
      <c r="P24" s="39"/>
    </row>
    <row r="25" spans="1:16" x14ac:dyDescent="0.25">
      <c r="A25" s="39"/>
      <c r="B25" s="39"/>
      <c r="C25" s="39"/>
      <c r="D25" s="39"/>
      <c r="E25" s="39"/>
      <c r="F25" s="103" t="str">
        <f>'DNO inputs'!F362</f>
        <v>132kV</v>
      </c>
      <c r="G25" s="103" t="str">
        <f>'DNO inputs'!G362</f>
        <v>£</v>
      </c>
      <c r="H25" s="137">
        <f>'DNO inputs'!H362</f>
        <v>349083944.99724865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39"/>
      <c r="B27" s="39"/>
      <c r="C27" s="96" t="s">
        <v>634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6"/>
    </row>
    <row r="28" spans="1:16" x14ac:dyDescent="0.25">
      <c r="A28" s="39"/>
      <c r="B28" s="39"/>
      <c r="C28" s="95"/>
      <c r="D28" s="95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39"/>
      <c r="B29" s="39"/>
      <c r="C29" s="39"/>
      <c r="D29" s="95"/>
      <c r="E29" s="101" t="str">
        <f>'DNO inputs'!E369</f>
        <v>LV services share of LV net capex</v>
      </c>
      <c r="F29" s="39"/>
      <c r="G29" s="101" t="str">
        <f>'DNO inputs'!G369</f>
        <v>%</v>
      </c>
      <c r="H29" s="146">
        <f>'DNO inputs'!H369</f>
        <v>0.20864462848279788</v>
      </c>
      <c r="I29" s="115"/>
      <c r="J29" s="115"/>
      <c r="K29" s="115"/>
      <c r="L29" s="115"/>
      <c r="M29" s="115"/>
      <c r="N29" s="115"/>
      <c r="O29" s="65"/>
      <c r="P29" s="39"/>
    </row>
    <row r="30" spans="1:16" x14ac:dyDescent="0.25">
      <c r="A30" s="39"/>
      <c r="B30" s="39"/>
      <c r="C30" s="39"/>
      <c r="D30" s="95"/>
      <c r="E30" s="95"/>
      <c r="F30" s="39"/>
      <c r="G30" s="101"/>
      <c r="H30" s="153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101"/>
      <c r="B31" s="39"/>
      <c r="C31" s="39"/>
      <c r="D31" s="39"/>
      <c r="E31" s="101" t="s">
        <v>250</v>
      </c>
      <c r="F31" s="39"/>
      <c r="G31" s="101" t="s">
        <v>44</v>
      </c>
      <c r="H31" s="154">
        <f>1 - H29</f>
        <v>0.79135537151720214</v>
      </c>
      <c r="I31" s="111" t="s">
        <v>314</v>
      </c>
      <c r="J31" s="115"/>
      <c r="K31" s="115"/>
      <c r="L31" s="115"/>
      <c r="M31" s="115"/>
      <c r="N31" s="115"/>
      <c r="O31" s="65"/>
      <c r="P31" s="101" t="s">
        <v>570</v>
      </c>
    </row>
    <row r="32" spans="1:16" x14ac:dyDescent="0.25">
      <c r="A32" s="39"/>
      <c r="B32" s="39"/>
      <c r="C32" s="39"/>
      <c r="D32" s="39"/>
      <c r="E32" s="95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39"/>
      <c r="E33" s="98" t="s">
        <v>414</v>
      </c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39"/>
    </row>
    <row r="34" spans="1:16" x14ac:dyDescent="0.25">
      <c r="A34" s="101"/>
      <c r="B34" s="39"/>
      <c r="C34" s="39"/>
      <c r="D34" s="39"/>
      <c r="E34" s="39"/>
      <c r="F34" s="99" t="s">
        <v>165</v>
      </c>
      <c r="G34" s="99" t="s">
        <v>44</v>
      </c>
      <c r="H34" s="129"/>
      <c r="I34" s="155" t="s">
        <v>314</v>
      </c>
      <c r="J34" s="156">
        <f>H$29</f>
        <v>0.20864462848279788</v>
      </c>
      <c r="K34" s="157">
        <f>H$31</f>
        <v>0.79135537151720214</v>
      </c>
      <c r="L34" s="158"/>
      <c r="M34" s="158"/>
      <c r="N34" s="158"/>
      <c r="O34" s="65"/>
      <c r="P34" s="101" t="s">
        <v>570</v>
      </c>
    </row>
    <row r="35" spans="1:16" x14ac:dyDescent="0.25">
      <c r="A35" s="39"/>
      <c r="B35" s="39"/>
      <c r="C35" s="39"/>
      <c r="D35" s="39"/>
      <c r="E35" s="39"/>
      <c r="F35" s="101" t="s">
        <v>168</v>
      </c>
      <c r="G35" s="101" t="s">
        <v>44</v>
      </c>
      <c r="H35" s="115"/>
      <c r="I35" s="115"/>
      <c r="J35" s="159"/>
      <c r="K35" s="159"/>
      <c r="L35" s="22">
        <v>1</v>
      </c>
      <c r="M35" s="159"/>
      <c r="N35" s="159"/>
      <c r="O35" s="65"/>
      <c r="P35" s="39"/>
    </row>
    <row r="36" spans="1:16" x14ac:dyDescent="0.25">
      <c r="A36" s="39"/>
      <c r="B36" s="39"/>
      <c r="C36" s="39"/>
      <c r="D36" s="39"/>
      <c r="E36" s="39"/>
      <c r="F36" s="101" t="s">
        <v>40</v>
      </c>
      <c r="G36" s="101" t="s">
        <v>44</v>
      </c>
      <c r="H36" s="115"/>
      <c r="I36" s="115"/>
      <c r="J36" s="159"/>
      <c r="K36" s="159"/>
      <c r="L36" s="159"/>
      <c r="M36" s="22">
        <v>1</v>
      </c>
      <c r="N36" s="159"/>
      <c r="O36" s="65"/>
      <c r="P36" s="39"/>
    </row>
    <row r="37" spans="1:16" x14ac:dyDescent="0.25">
      <c r="A37" s="39"/>
      <c r="B37" s="39"/>
      <c r="C37" s="39"/>
      <c r="D37" s="39"/>
      <c r="E37" s="39"/>
      <c r="F37" s="101" t="s">
        <v>37</v>
      </c>
      <c r="G37" s="101" t="s">
        <v>44</v>
      </c>
      <c r="H37" s="115"/>
      <c r="I37" s="115"/>
      <c r="J37" s="159"/>
      <c r="K37" s="159"/>
      <c r="L37" s="159"/>
      <c r="M37" s="159"/>
      <c r="N37" s="22">
        <v>1</v>
      </c>
      <c r="O37" s="65"/>
      <c r="P37" s="39"/>
    </row>
    <row r="38" spans="1:16" x14ac:dyDescent="0.25">
      <c r="A38" s="39"/>
      <c r="B38" s="39"/>
      <c r="C38" s="39"/>
      <c r="D38" s="39"/>
      <c r="E38" s="39"/>
      <c r="F38" s="103" t="s">
        <v>35</v>
      </c>
      <c r="G38" s="103" t="s">
        <v>44</v>
      </c>
      <c r="H38" s="130"/>
      <c r="I38" s="131"/>
      <c r="J38" s="160"/>
      <c r="K38" s="160"/>
      <c r="L38" s="160"/>
      <c r="M38" s="160"/>
      <c r="N38" s="37">
        <v>1</v>
      </c>
      <c r="O38" s="65"/>
      <c r="P38" s="39"/>
    </row>
    <row r="39" spans="1:1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39"/>
    </row>
    <row r="40" spans="1:16" x14ac:dyDescent="0.25">
      <c r="A40" s="101"/>
      <c r="B40" s="39"/>
      <c r="C40" s="39"/>
      <c r="D40" s="39"/>
      <c r="E40" s="101" t="s">
        <v>397</v>
      </c>
      <c r="F40" s="39"/>
      <c r="G40" s="101" t="str">
        <f>G$21</f>
        <v>£</v>
      </c>
      <c r="H40" s="110"/>
      <c r="I40" s="123" t="s">
        <v>314</v>
      </c>
      <c r="J40" s="110">
        <f>SUMPRODUCT($H21:$H25, J34:J38)</f>
        <v>34818593.748350829</v>
      </c>
      <c r="K40" s="110">
        <f>SUMPRODUCT($H21:$H25, K34:K38)</f>
        <v>132061301.51442856</v>
      </c>
      <c r="L40" s="110">
        <f>SUMPRODUCT($H21:$H25, L34:L38)</f>
        <v>50467924.447354972</v>
      </c>
      <c r="M40" s="110">
        <f>SUMPRODUCT($H21:$H25, M34:M38)</f>
        <v>195577295.74351519</v>
      </c>
      <c r="N40" s="110">
        <f>SUMPRODUCT($H21:$H25, N34:N38)</f>
        <v>536108427.48959672</v>
      </c>
      <c r="O40" s="65"/>
      <c r="P40" s="101" t="s">
        <v>576</v>
      </c>
    </row>
    <row r="41" spans="1:16" x14ac:dyDescent="0.25">
      <c r="A41" s="101"/>
      <c r="B41" s="39"/>
      <c r="C41" s="39"/>
      <c r="D41" s="39"/>
      <c r="E41" s="101" t="s">
        <v>398</v>
      </c>
      <c r="F41" s="39"/>
      <c r="G41" s="101" t="str">
        <f>G$21</f>
        <v>£</v>
      </c>
      <c r="H41" s="110">
        <f>SUM(J40:N40)</f>
        <v>949033542.94324625</v>
      </c>
      <c r="I41" s="123" t="s">
        <v>314</v>
      </c>
      <c r="J41" s="110"/>
      <c r="K41" s="110"/>
      <c r="L41" s="110"/>
      <c r="M41" s="110"/>
      <c r="N41" s="110"/>
      <c r="O41" s="65"/>
      <c r="P41" s="101" t="s">
        <v>576</v>
      </c>
    </row>
    <row r="42" spans="1:16" x14ac:dyDescent="0.25">
      <c r="A42" s="39"/>
      <c r="B42" s="39"/>
      <c r="C42" s="39"/>
      <c r="D42" s="39"/>
      <c r="E42" s="101" t="s">
        <v>487</v>
      </c>
      <c r="F42" s="39"/>
      <c r="G42" s="101" t="s">
        <v>470</v>
      </c>
      <c r="H42" s="161" t="b">
        <f>H41 &gt; 0</f>
        <v>1</v>
      </c>
      <c r="I42" s="110"/>
      <c r="J42" s="110"/>
      <c r="K42" s="110"/>
      <c r="L42" s="110"/>
      <c r="M42" s="110"/>
      <c r="N42" s="110"/>
      <c r="O42" s="65"/>
      <c r="P42" s="39"/>
    </row>
    <row r="43" spans="1:1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39"/>
    </row>
    <row r="44" spans="1:16" x14ac:dyDescent="0.25">
      <c r="A44" s="101"/>
      <c r="B44" s="39"/>
      <c r="C44" s="39"/>
      <c r="D44" s="39"/>
      <c r="E44" s="101" t="s">
        <v>401</v>
      </c>
      <c r="F44" s="39"/>
      <c r="G44" s="101" t="s">
        <v>44</v>
      </c>
      <c r="H44" s="115"/>
      <c r="I44" s="111" t="s">
        <v>314</v>
      </c>
      <c r="J44" s="134">
        <f>IF($H42, J40 / $H41, 0)</f>
        <v>3.668847535184859E-2</v>
      </c>
      <c r="K44" s="134">
        <f>IF($H42, K40 / $H41, 0)</f>
        <v>0.1391534603770333</v>
      </c>
      <c r="L44" s="134">
        <f>IF($H42, L40 / $H41, 0)</f>
        <v>5.3178230445720967E-2</v>
      </c>
      <c r="M44" s="134">
        <f>IF($H42, M40 / $H41, 0)</f>
        <v>0.20608048808998844</v>
      </c>
      <c r="N44" s="134">
        <f>IF($H42, N40 / $H41, 0)</f>
        <v>0.56489934573540868</v>
      </c>
      <c r="O44" s="65"/>
      <c r="P44" s="101" t="s">
        <v>576</v>
      </c>
    </row>
    <row r="45" spans="1:16" x14ac:dyDescent="0.25">
      <c r="A45" s="39"/>
      <c r="B45" s="39"/>
      <c r="C45" s="39"/>
      <c r="D45" s="39"/>
      <c r="E45" s="101" t="s">
        <v>239</v>
      </c>
      <c r="F45" s="39"/>
      <c r="G45" s="101" t="s">
        <v>231</v>
      </c>
      <c r="H45" s="116">
        <f>IF(SUM(J44:N44)= 1, 0, 1)</f>
        <v>0</v>
      </c>
      <c r="I45" s="116"/>
      <c r="J45" s="116"/>
      <c r="K45" s="116"/>
      <c r="L45" s="116"/>
      <c r="M45" s="116"/>
      <c r="N45" s="116"/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39"/>
      <c r="B47" s="39"/>
      <c r="C47" s="96" t="s">
        <v>635</v>
      </c>
      <c r="D47" s="96"/>
      <c r="E47" s="96"/>
      <c r="F47" s="96"/>
      <c r="G47" s="96"/>
      <c r="H47" s="97"/>
      <c r="I47" s="97"/>
      <c r="J47" s="97"/>
      <c r="K47" s="97"/>
      <c r="L47" s="97"/>
      <c r="M47" s="97"/>
      <c r="N47" s="97"/>
      <c r="O47" s="97"/>
      <c r="P47" s="96"/>
    </row>
    <row r="48" spans="1:16" x14ac:dyDescent="0.25">
      <c r="A48" s="39"/>
      <c r="B48" s="39"/>
      <c r="C48" s="95"/>
      <c r="D48" s="95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95"/>
      <c r="E49" s="101" t="str">
        <f>MEAV!E120</f>
        <v>EHV reduction rate</v>
      </c>
      <c r="F49" s="39"/>
      <c r="G49" s="101" t="str">
        <f>MEAV!G120</f>
        <v>%</v>
      </c>
      <c r="H49" s="146">
        <f>MEAV!H120</f>
        <v>0.85450121406679802</v>
      </c>
      <c r="I49" s="115"/>
      <c r="J49" s="115"/>
      <c r="K49" s="115"/>
      <c r="L49" s="115"/>
      <c r="M49" s="115"/>
      <c r="N49" s="115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39"/>
      <c r="C51" s="39"/>
      <c r="D51" s="39"/>
      <c r="E51" s="98" t="s">
        <v>415</v>
      </c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39"/>
    </row>
    <row r="52" spans="1:16" x14ac:dyDescent="0.25">
      <c r="A52" s="101"/>
      <c r="B52" s="39"/>
      <c r="C52" s="39"/>
      <c r="D52" s="39"/>
      <c r="E52" s="39"/>
      <c r="F52" s="99" t="s">
        <v>165</v>
      </c>
      <c r="G52" s="99" t="s">
        <v>44</v>
      </c>
      <c r="H52" s="129"/>
      <c r="I52" s="155" t="s">
        <v>314</v>
      </c>
      <c r="J52" s="157">
        <f>J34</f>
        <v>0.20864462848279788</v>
      </c>
      <c r="K52" s="157">
        <f>K34</f>
        <v>0.79135537151720214</v>
      </c>
      <c r="L52" s="158"/>
      <c r="M52" s="158"/>
      <c r="N52" s="158"/>
      <c r="O52" s="65"/>
      <c r="P52" s="101" t="s">
        <v>570</v>
      </c>
    </row>
    <row r="53" spans="1:16" x14ac:dyDescent="0.25">
      <c r="A53" s="39"/>
      <c r="B53" s="39"/>
      <c r="C53" s="39"/>
      <c r="D53" s="39"/>
      <c r="E53" s="39"/>
      <c r="F53" s="101" t="s">
        <v>168</v>
      </c>
      <c r="G53" s="101" t="s">
        <v>44</v>
      </c>
      <c r="H53" s="115"/>
      <c r="I53" s="115"/>
      <c r="J53" s="159"/>
      <c r="K53" s="159"/>
      <c r="L53" s="154">
        <f>L35</f>
        <v>1</v>
      </c>
      <c r="M53" s="159"/>
      <c r="N53" s="159"/>
      <c r="O53" s="65"/>
      <c r="P53" s="39"/>
    </row>
    <row r="54" spans="1:16" x14ac:dyDescent="0.25">
      <c r="A54" s="39"/>
      <c r="B54" s="39"/>
      <c r="C54" s="39"/>
      <c r="D54" s="39"/>
      <c r="E54" s="39"/>
      <c r="F54" s="101" t="s">
        <v>40</v>
      </c>
      <c r="G54" s="101" t="s">
        <v>44</v>
      </c>
      <c r="H54" s="115"/>
      <c r="I54" s="115"/>
      <c r="J54" s="159"/>
      <c r="K54" s="159"/>
      <c r="L54" s="159"/>
      <c r="M54" s="154">
        <f>M36</f>
        <v>1</v>
      </c>
      <c r="N54" s="159"/>
      <c r="O54" s="65"/>
      <c r="P54" s="39"/>
    </row>
    <row r="55" spans="1:16" x14ac:dyDescent="0.25">
      <c r="A55" s="101"/>
      <c r="B55" s="39"/>
      <c r="C55" s="39"/>
      <c r="D55" s="39"/>
      <c r="E55" s="39"/>
      <c r="F55" s="101" t="s">
        <v>37</v>
      </c>
      <c r="G55" s="101" t="s">
        <v>44</v>
      </c>
      <c r="H55" s="115"/>
      <c r="I55" s="111" t="s">
        <v>314</v>
      </c>
      <c r="J55" s="159"/>
      <c r="K55" s="159"/>
      <c r="L55" s="159"/>
      <c r="M55" s="159"/>
      <c r="N55" s="115">
        <f>H$49</f>
        <v>0.85450121406679802</v>
      </c>
      <c r="O55" s="65"/>
      <c r="P55" s="101" t="s">
        <v>577</v>
      </c>
    </row>
    <row r="56" spans="1:16" x14ac:dyDescent="0.25">
      <c r="A56" s="101"/>
      <c r="B56" s="39"/>
      <c r="C56" s="39"/>
      <c r="D56" s="39"/>
      <c r="E56" s="39"/>
      <c r="F56" s="103" t="s">
        <v>35</v>
      </c>
      <c r="G56" s="103" t="s">
        <v>44</v>
      </c>
      <c r="H56" s="130"/>
      <c r="I56" s="162" t="s">
        <v>314</v>
      </c>
      <c r="J56" s="180"/>
      <c r="K56" s="180"/>
      <c r="L56" s="180"/>
      <c r="M56" s="180"/>
      <c r="N56" s="130">
        <f>H$49</f>
        <v>0.85450121406679802</v>
      </c>
      <c r="O56" s="65"/>
      <c r="P56" s="101" t="s">
        <v>577</v>
      </c>
    </row>
    <row r="57" spans="1:1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101"/>
      <c r="B58" s="39"/>
      <c r="C58" s="39"/>
      <c r="D58" s="39"/>
      <c r="E58" s="101" t="s">
        <v>399</v>
      </c>
      <c r="F58" s="39"/>
      <c r="G58" s="101" t="str">
        <f>G$21</f>
        <v>£</v>
      </c>
      <c r="H58" s="110"/>
      <c r="I58" s="123" t="s">
        <v>314</v>
      </c>
      <c r="J58" s="110">
        <f>SUMPRODUCT($H21:$H25, J52:J56)</f>
        <v>34818593.748350829</v>
      </c>
      <c r="K58" s="110">
        <f>SUMPRODUCT($H21:$H25, K52:K56)</f>
        <v>132061301.51442856</v>
      </c>
      <c r="L58" s="110">
        <f>SUMPRODUCT($H21:$H25, L52:L56)</f>
        <v>50467924.447354972</v>
      </c>
      <c r="M58" s="110">
        <f>SUMPRODUCT($H21:$H25, M52:M56)</f>
        <v>195577295.74351519</v>
      </c>
      <c r="N58" s="110">
        <f>SUMPRODUCT($H21:$H25, N52:N56)</f>
        <v>458105302.16130239</v>
      </c>
      <c r="O58" s="65"/>
      <c r="P58" s="101" t="s">
        <v>576</v>
      </c>
    </row>
    <row r="59" spans="1:16" x14ac:dyDescent="0.25">
      <c r="A59" s="101"/>
      <c r="B59" s="39"/>
      <c r="C59" s="39"/>
      <c r="D59" s="39"/>
      <c r="E59" s="101" t="s">
        <v>488</v>
      </c>
      <c r="F59" s="39"/>
      <c r="G59" s="101" t="str">
        <f>G$21</f>
        <v>£</v>
      </c>
      <c r="H59" s="110">
        <f>SUM(J58:N58)</f>
        <v>871030417.61495185</v>
      </c>
      <c r="I59" s="123" t="s">
        <v>314</v>
      </c>
      <c r="J59" s="110"/>
      <c r="K59" s="110"/>
      <c r="L59" s="110"/>
      <c r="M59" s="110"/>
      <c r="N59" s="110"/>
      <c r="O59" s="65"/>
      <c r="P59" s="101" t="s">
        <v>576</v>
      </c>
    </row>
    <row r="60" spans="1:16" x14ac:dyDescent="0.25">
      <c r="A60" s="39"/>
      <c r="B60" s="39"/>
      <c r="C60" s="39"/>
      <c r="D60" s="39"/>
      <c r="E60" s="101" t="s">
        <v>487</v>
      </c>
      <c r="F60" s="39"/>
      <c r="G60" s="101" t="s">
        <v>470</v>
      </c>
      <c r="H60" s="161" t="b">
        <f>H59 &gt; 0</f>
        <v>1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101"/>
      <c r="B62" s="39"/>
      <c r="C62" s="39"/>
      <c r="D62" s="39"/>
      <c r="E62" s="101" t="s">
        <v>402</v>
      </c>
      <c r="F62" s="39"/>
      <c r="G62" s="101" t="s">
        <v>44</v>
      </c>
      <c r="H62" s="115"/>
      <c r="I62" s="111" t="s">
        <v>314</v>
      </c>
      <c r="J62" s="134">
        <f>IF($H60, J58 / $H59, 0)</f>
        <v>3.9974027363695069E-2</v>
      </c>
      <c r="K62" s="134">
        <f>IF($H60, K58 / $H59, 0)</f>
        <v>0.15161502841202457</v>
      </c>
      <c r="L62" s="134">
        <f>IF($H60, L58 / $H59, 0)</f>
        <v>5.7940484541912807E-2</v>
      </c>
      <c r="M62" s="134">
        <f>IF($H60, M58 / $H59, 0)</f>
        <v>0.22453555213266063</v>
      </c>
      <c r="N62" s="134">
        <f>IF($H60, N58 / $H59, 0)</f>
        <v>0.52593490754970695</v>
      </c>
      <c r="O62" s="65"/>
      <c r="P62" s="101" t="s">
        <v>576</v>
      </c>
    </row>
    <row r="63" spans="1:16" x14ac:dyDescent="0.25">
      <c r="A63" s="39"/>
      <c r="B63" s="39"/>
      <c r="C63" s="39"/>
      <c r="D63" s="39"/>
      <c r="E63" s="101" t="s">
        <v>239</v>
      </c>
      <c r="F63" s="39"/>
      <c r="G63" s="101" t="s">
        <v>231</v>
      </c>
      <c r="H63" s="116">
        <f>IF(SUM(J62:N62)= 1, 0, 1)</f>
        <v>0</v>
      </c>
      <c r="I63" s="116"/>
      <c r="J63" s="116"/>
      <c r="K63" s="116"/>
      <c r="L63" s="116"/>
      <c r="M63" s="116"/>
      <c r="N63" s="116"/>
      <c r="O63" s="65"/>
      <c r="P63" s="39"/>
    </row>
    <row r="64" spans="1:1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39"/>
    </row>
    <row r="65" spans="1:16" x14ac:dyDescent="0.25">
      <c r="A65" s="39"/>
      <c r="B65" s="93" t="s">
        <v>242</v>
      </c>
      <c r="C65" s="93"/>
      <c r="D65" s="93"/>
      <c r="E65" s="93"/>
      <c r="F65" s="93"/>
      <c r="G65" s="93"/>
      <c r="H65" s="94"/>
      <c r="I65" s="94"/>
      <c r="J65" s="94"/>
      <c r="K65" s="94"/>
      <c r="L65" s="94"/>
      <c r="M65" s="94"/>
      <c r="N65" s="94"/>
      <c r="O65" s="94"/>
      <c r="P65" s="93"/>
    </row>
    <row r="66" spans="1:16" x14ac:dyDescent="0.25">
      <c r="A66" s="39"/>
      <c r="B66" s="39"/>
      <c r="C66" s="95"/>
      <c r="D66" s="95"/>
      <c r="E66" s="95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39"/>
    </row>
    <row r="67" spans="1:16" x14ac:dyDescent="0.25">
      <c r="A67" s="39"/>
      <c r="B67" s="39"/>
      <c r="C67" s="95"/>
      <c r="D67" s="95"/>
      <c r="E67" s="101" t="s">
        <v>232</v>
      </c>
      <c r="F67" s="39"/>
      <c r="G67" s="101" t="s">
        <v>231</v>
      </c>
      <c r="H67" s="139">
        <f>H45 + H63</f>
        <v>0</v>
      </c>
      <c r="I67" s="116"/>
      <c r="J67" s="116"/>
      <c r="K67" s="116"/>
      <c r="L67" s="116"/>
      <c r="M67" s="116"/>
      <c r="N67" s="116"/>
      <c r="O67" s="65"/>
      <c r="P67" s="39"/>
    </row>
    <row r="68" spans="1:1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39"/>
    </row>
    <row r="69" spans="1:16" x14ac:dyDescent="0.25">
      <c r="A69" s="39"/>
      <c r="B69" s="93" t="s">
        <v>30</v>
      </c>
      <c r="C69" s="93"/>
      <c r="D69" s="93"/>
      <c r="E69" s="93"/>
      <c r="F69" s="93"/>
      <c r="G69" s="93"/>
      <c r="H69" s="94"/>
      <c r="I69" s="94"/>
      <c r="J69" s="94"/>
      <c r="K69" s="94"/>
      <c r="L69" s="94"/>
      <c r="M69" s="94"/>
      <c r="N69" s="94"/>
      <c r="O69" s="94"/>
      <c r="P69" s="93"/>
    </row>
  </sheetData>
  <sheetProtection sheet="1" objects="1" formatCells="0" formatColumns="0" formatRows="0" sort="0" autoFilter="0"/>
  <conditionalFormatting sqref="H45">
    <cfRule type="cellIs" dxfId="19" priority="2" stopIfTrue="1" operator="greaterThan">
      <formula>0</formula>
    </cfRule>
  </conditionalFormatting>
  <conditionalFormatting sqref="H63">
    <cfRule type="cellIs" dxfId="18" priority="3" stopIfTrue="1" operator="greaterThan">
      <formula>0</formula>
    </cfRule>
  </conditionalFormatting>
  <conditionalFormatting sqref="H67">
    <cfRule type="cellIs" dxfId="17" priority="4" stopIfTrue="1" operator="greaterThan">
      <formula>0</formula>
    </cfRule>
  </conditionalFormatting>
  <conditionalFormatting sqref="A4:XFD4">
    <cfRule type="expression" dxfId="1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27" activePane="bottomRight" state="frozenSplit"/>
      <selection pane="topRight"/>
      <selection pane="bottomLeft"/>
      <selection pane="bottomRight" activeCell="J33" sqref="J3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Rev allocation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H188 &amp; IF(H188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400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719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  <c r="Q10" s="65"/>
    </row>
    <row r="11" spans="1:1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</row>
    <row r="12" spans="1:17" x14ac:dyDescent="0.25">
      <c r="A12" s="39"/>
      <c r="B12" s="93" t="s">
        <v>405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3"/>
    </row>
    <row r="13" spans="1:1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39"/>
    </row>
    <row r="14" spans="1:17" x14ac:dyDescent="0.25">
      <c r="A14" s="39"/>
      <c r="B14" s="39"/>
      <c r="C14" s="95" t="s">
        <v>744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6" t="s">
        <v>636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6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39"/>
      <c r="D18" s="95"/>
      <c r="E18" s="98" t="str">
        <f>'DNO inputs'!E375</f>
        <v>Price control allowed revenue, by component (2005/06 to 2009/10)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39"/>
    </row>
    <row r="19" spans="1:16" x14ac:dyDescent="0.25">
      <c r="A19" s="39"/>
      <c r="B19" s="39"/>
      <c r="C19" s="39"/>
      <c r="D19" s="39"/>
      <c r="E19" s="39"/>
      <c r="F19" s="99" t="str">
        <f>'DNO inputs'!F376</f>
        <v>Aggregate return allowance</v>
      </c>
      <c r="G19" s="99" t="str">
        <f>'DNO inputs'!G376</f>
        <v>£</v>
      </c>
      <c r="H19" s="136">
        <f>'DNO inputs'!H376</f>
        <v>419826929.15108359</v>
      </c>
      <c r="I19" s="110"/>
      <c r="J19" s="110"/>
      <c r="K19" s="110"/>
      <c r="L19" s="110"/>
      <c r="M19" s="110"/>
      <c r="N19" s="110"/>
      <c r="O19" s="65"/>
      <c r="P19" s="39"/>
    </row>
    <row r="20" spans="1:16" x14ac:dyDescent="0.25">
      <c r="A20" s="39"/>
      <c r="B20" s="39"/>
      <c r="C20" s="39"/>
      <c r="D20" s="39"/>
      <c r="E20" s="39"/>
      <c r="F20" s="101" t="str">
        <f>'DNO inputs'!F377</f>
        <v>Aggregate depreciation allowance</v>
      </c>
      <c r="G20" s="101" t="str">
        <f>'DNO inputs'!G377</f>
        <v>£</v>
      </c>
      <c r="H20" s="132">
        <f>'DNO inputs'!H377</f>
        <v>413099999.99999994</v>
      </c>
      <c r="I20" s="110"/>
      <c r="J20" s="110"/>
      <c r="K20" s="110"/>
      <c r="L20" s="110"/>
      <c r="M20" s="110"/>
      <c r="N20" s="110"/>
      <c r="O20" s="65"/>
      <c r="P20" s="39"/>
    </row>
    <row r="21" spans="1:16" x14ac:dyDescent="0.25">
      <c r="A21" s="39"/>
      <c r="B21" s="39"/>
      <c r="C21" s="39"/>
      <c r="D21" s="39"/>
      <c r="E21" s="39"/>
      <c r="F21" s="103" t="str">
        <f>'DNO inputs'!F378</f>
        <v>Aggregate operating allowance</v>
      </c>
      <c r="G21" s="103" t="str">
        <f>'DNO inputs'!G378</f>
        <v>£</v>
      </c>
      <c r="H21" s="137">
        <f>'DNO inputs'!H378</f>
        <v>378263000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65"/>
      <c r="P22" s="39"/>
    </row>
    <row r="23" spans="1:16" x14ac:dyDescent="0.25">
      <c r="A23" s="101"/>
      <c r="B23" s="39"/>
      <c r="C23" s="39"/>
      <c r="D23" s="39"/>
      <c r="E23" s="101" t="s">
        <v>252</v>
      </c>
      <c r="F23" s="39"/>
      <c r="G23" s="101" t="str">
        <f>G$19</f>
        <v>£</v>
      </c>
      <c r="H23" s="110">
        <f>SUM(H19:H21)</f>
        <v>1211189929.1510835</v>
      </c>
      <c r="I23" s="123" t="s">
        <v>314</v>
      </c>
      <c r="J23" s="110"/>
      <c r="K23" s="110"/>
      <c r="L23" s="110"/>
      <c r="M23" s="110"/>
      <c r="N23" s="110"/>
      <c r="O23" s="65"/>
      <c r="P23" s="101" t="s">
        <v>578</v>
      </c>
    </row>
    <row r="24" spans="1:16" x14ac:dyDescent="0.25">
      <c r="A24" s="39"/>
      <c r="B24" s="39"/>
      <c r="C24" s="39"/>
      <c r="D24" s="39"/>
      <c r="E24" s="95"/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39"/>
    </row>
    <row r="25" spans="1:16" x14ac:dyDescent="0.25">
      <c r="A25" s="39"/>
      <c r="B25" s="39"/>
      <c r="C25" s="39"/>
      <c r="D25" s="39"/>
      <c r="E25" s="101" t="s">
        <v>529</v>
      </c>
      <c r="F25" s="39"/>
      <c r="G25" s="101" t="s">
        <v>470</v>
      </c>
      <c r="H25" s="110" t="b">
        <f>H23 &gt; 0</f>
        <v>1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101"/>
      <c r="B27" s="39"/>
      <c r="C27" s="39"/>
      <c r="D27" s="39"/>
      <c r="E27" s="101" t="s">
        <v>253</v>
      </c>
      <c r="F27" s="39"/>
      <c r="G27" s="101" t="s">
        <v>44</v>
      </c>
      <c r="H27" s="115">
        <f>IF(H$25, H21 / H23, 0)</f>
        <v>0.31230692304808255</v>
      </c>
      <c r="I27" s="111" t="s">
        <v>314</v>
      </c>
      <c r="J27" s="115"/>
      <c r="K27" s="115"/>
      <c r="L27" s="115"/>
      <c r="M27" s="115"/>
      <c r="N27" s="115"/>
      <c r="O27" s="65"/>
      <c r="P27" s="101" t="s">
        <v>578</v>
      </c>
    </row>
    <row r="28" spans="1:16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101"/>
      <c r="B29" s="39"/>
      <c r="C29" s="39"/>
      <c r="D29" s="39"/>
      <c r="E29" s="101" t="s">
        <v>254</v>
      </c>
      <c r="F29" s="39"/>
      <c r="G29" s="101" t="s">
        <v>44</v>
      </c>
      <c r="H29" s="115">
        <f>IF(H25, (H19 + H20) / H23, 0)</f>
        <v>0.68769307695191739</v>
      </c>
      <c r="I29" s="111" t="s">
        <v>314</v>
      </c>
      <c r="J29" s="115"/>
      <c r="K29" s="115"/>
      <c r="L29" s="115"/>
      <c r="M29" s="115"/>
      <c r="N29" s="115"/>
      <c r="O29" s="65"/>
      <c r="P29" s="101" t="s">
        <v>578</v>
      </c>
    </row>
    <row r="30" spans="1:1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39"/>
      <c r="B31" s="39"/>
      <c r="C31" s="96" t="s">
        <v>637</v>
      </c>
      <c r="D31" s="96"/>
      <c r="E31" s="96"/>
      <c r="F31" s="96"/>
      <c r="G31" s="96"/>
      <c r="H31" s="97"/>
      <c r="I31" s="97"/>
      <c r="J31" s="97"/>
      <c r="K31" s="97"/>
      <c r="L31" s="97"/>
      <c r="M31" s="97"/>
      <c r="N31" s="97"/>
      <c r="O31" s="97"/>
      <c r="P31" s="96"/>
    </row>
    <row r="32" spans="1:16" x14ac:dyDescent="0.25">
      <c r="A32" s="39"/>
      <c r="B32" s="39"/>
      <c r="C32" s="95"/>
      <c r="D32" s="95"/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95"/>
      <c r="E33" s="101" t="str">
        <f>Expensed!E67</f>
        <v>Expensed proportions, by network level (EDCM)</v>
      </c>
      <c r="F33" s="39"/>
      <c r="G33" s="101" t="str">
        <f>Expensed!G68</f>
        <v>%</v>
      </c>
      <c r="H33" s="115"/>
      <c r="I33" s="115"/>
      <c r="J33" s="146">
        <f>Expensed!H68</f>
        <v>0.29720705092288296</v>
      </c>
      <c r="K33" s="146">
        <f>Expensed!H69</f>
        <v>0.20751773525230927</v>
      </c>
      <c r="L33" s="146">
        <f>Expensed!H70</f>
        <v>8.2492857279772444E-2</v>
      </c>
      <c r="M33" s="146">
        <f>Expensed!H71</f>
        <v>0.182640119360825</v>
      </c>
      <c r="N33" s="146">
        <f>Expensed!H72</f>
        <v>0.2301422371842104</v>
      </c>
      <c r="O33" s="65"/>
      <c r="P33" s="39"/>
    </row>
    <row r="34" spans="1:16" x14ac:dyDescent="0.25">
      <c r="A34" s="39"/>
      <c r="B34" s="39"/>
      <c r="C34" s="39"/>
      <c r="D34" s="39"/>
      <c r="E34" s="95"/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39"/>
    </row>
    <row r="35" spans="1:16" x14ac:dyDescent="0.25">
      <c r="A35" s="39"/>
      <c r="B35" s="39"/>
      <c r="C35" s="39"/>
      <c r="D35" s="39"/>
      <c r="E35" s="101" t="str">
        <f>Capitalised!E44</f>
        <v>Capitalised proportions, by network level (EDCM)</v>
      </c>
      <c r="F35" s="39"/>
      <c r="G35" s="101" t="str">
        <f>Capitalised!G44</f>
        <v>%</v>
      </c>
      <c r="H35" s="115"/>
      <c r="I35" s="115"/>
      <c r="J35" s="146">
        <f>Capitalised!J44</f>
        <v>3.668847535184859E-2</v>
      </c>
      <c r="K35" s="146">
        <f>Capitalised!K44</f>
        <v>0.1391534603770333</v>
      </c>
      <c r="L35" s="146">
        <f>Capitalised!L44</f>
        <v>5.3178230445720967E-2</v>
      </c>
      <c r="M35" s="146">
        <f>Capitalised!M44</f>
        <v>0.20608048808998844</v>
      </c>
      <c r="N35" s="146">
        <f>Capitalised!N44</f>
        <v>0.56489934573540868</v>
      </c>
      <c r="O35" s="65"/>
      <c r="P35" s="39"/>
    </row>
    <row r="36" spans="1:16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65"/>
      <c r="P36" s="39"/>
    </row>
    <row r="37" spans="1:16" x14ac:dyDescent="0.25">
      <c r="A37" s="101"/>
      <c r="B37" s="39"/>
      <c r="C37" s="39"/>
      <c r="D37" s="39"/>
      <c r="E37" s="101" t="s">
        <v>403</v>
      </c>
      <c r="F37" s="39"/>
      <c r="G37" s="101" t="s">
        <v>44</v>
      </c>
      <c r="H37" s="115"/>
      <c r="I37" s="111" t="s">
        <v>314</v>
      </c>
      <c r="J37" s="115">
        <f>($H$27 * J33) + ($H$29 * J35)</f>
        <v>0.1180502300853077</v>
      </c>
      <c r="K37" s="115">
        <f>($H$27 * K33) + ($H$29 * K35)</f>
        <v>0.16050409670974408</v>
      </c>
      <c r="L37" s="115">
        <f>($H$27 * L33) + ($H$29 * L35)</f>
        <v>6.2333391352566339E-2</v>
      </c>
      <c r="M37" s="115">
        <f>($H$27 * M33) + ($H$29 * M35)</f>
        <v>0.19875989865707092</v>
      </c>
      <c r="N37" s="115">
        <f>($H$27 * N33) + ($H$29 * N35)</f>
        <v>0.46035238319531091</v>
      </c>
      <c r="O37" s="65"/>
      <c r="P37" s="101" t="s">
        <v>578</v>
      </c>
    </row>
    <row r="38" spans="1:16" x14ac:dyDescent="0.25">
      <c r="A38" s="39"/>
      <c r="B38" s="39"/>
      <c r="C38" s="39"/>
      <c r="D38" s="39"/>
      <c r="E38" s="95"/>
      <c r="F38" s="39"/>
      <c r="G38" s="39"/>
      <c r="H38" s="65"/>
      <c r="I38" s="65"/>
      <c r="J38" s="65"/>
      <c r="K38" s="65"/>
      <c r="L38" s="65"/>
      <c r="M38" s="65"/>
      <c r="N38" s="65"/>
      <c r="O38" s="65"/>
      <c r="P38" s="39"/>
    </row>
    <row r="39" spans="1:16" x14ac:dyDescent="0.25">
      <c r="A39" s="39"/>
      <c r="B39" s="39"/>
      <c r="C39" s="39"/>
      <c r="D39" s="39"/>
      <c r="E39" s="101" t="s">
        <v>239</v>
      </c>
      <c r="F39" s="39"/>
      <c r="G39" s="101" t="s">
        <v>231</v>
      </c>
      <c r="H39" s="163">
        <f>IF(SUM(J37:N37)= 1, 0, 1)</f>
        <v>0</v>
      </c>
      <c r="I39" s="116"/>
      <c r="J39" s="116"/>
      <c r="K39" s="116"/>
      <c r="L39" s="116"/>
      <c r="M39" s="116"/>
      <c r="N39" s="116"/>
      <c r="O39" s="65"/>
      <c r="P39" s="39"/>
    </row>
    <row r="40" spans="1:1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39"/>
    </row>
    <row r="41" spans="1:16" x14ac:dyDescent="0.25">
      <c r="A41" s="39"/>
      <c r="B41" s="39"/>
      <c r="C41" s="96" t="s">
        <v>638</v>
      </c>
      <c r="D41" s="96"/>
      <c r="E41" s="96"/>
      <c r="F41" s="96"/>
      <c r="G41" s="96"/>
      <c r="H41" s="97"/>
      <c r="I41" s="97"/>
      <c r="J41" s="97"/>
      <c r="K41" s="97"/>
      <c r="L41" s="97"/>
      <c r="M41" s="97"/>
      <c r="N41" s="97"/>
      <c r="O41" s="97"/>
      <c r="P41" s="96"/>
    </row>
    <row r="42" spans="1:16" x14ac:dyDescent="0.25">
      <c r="A42" s="39"/>
      <c r="B42" s="39"/>
      <c r="C42" s="95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39"/>
    </row>
    <row r="43" spans="1:16" x14ac:dyDescent="0.25">
      <c r="A43" s="39"/>
      <c r="B43" s="39"/>
      <c r="C43" s="39"/>
      <c r="D43" s="95"/>
      <c r="E43" s="101" t="str">
        <f>Expensed!E76</f>
        <v>Expensed proportions, by network level (CDCM)</v>
      </c>
      <c r="F43" s="39"/>
      <c r="G43" s="101" t="str">
        <f>Expensed!G77</f>
        <v>%</v>
      </c>
      <c r="H43" s="115"/>
      <c r="I43" s="115"/>
      <c r="J43" s="146">
        <f>Expensed!H77</f>
        <v>0.30301260172014954</v>
      </c>
      <c r="K43" s="146">
        <f>Expensed!H78</f>
        <v>0.21307274443051824</v>
      </c>
      <c r="L43" s="146">
        <f>Expensed!H79</f>
        <v>8.3372803504728629E-2</v>
      </c>
      <c r="M43" s="146">
        <f>Expensed!H80</f>
        <v>0.18591387799200237</v>
      </c>
      <c r="N43" s="146">
        <f>Expensed!H81</f>
        <v>0.21462797235260134</v>
      </c>
      <c r="O43" s="65"/>
      <c r="P43" s="39"/>
    </row>
    <row r="44" spans="1:16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65"/>
      <c r="K44" s="65"/>
      <c r="L44" s="65"/>
      <c r="M44" s="65"/>
      <c r="N44" s="65"/>
      <c r="O44" s="65"/>
      <c r="P44" s="39"/>
    </row>
    <row r="45" spans="1:16" x14ac:dyDescent="0.25">
      <c r="A45" s="39"/>
      <c r="B45" s="39"/>
      <c r="C45" s="39"/>
      <c r="D45" s="39"/>
      <c r="E45" s="101" t="str">
        <f>Capitalised!E62</f>
        <v>Capitalised proportions, by network level (CDCM)</v>
      </c>
      <c r="F45" s="39"/>
      <c r="G45" s="101" t="str">
        <f>Capitalised!G62</f>
        <v>%</v>
      </c>
      <c r="H45" s="115"/>
      <c r="I45" s="115"/>
      <c r="J45" s="146">
        <f>Capitalised!J62</f>
        <v>3.9974027363695069E-2</v>
      </c>
      <c r="K45" s="146">
        <f>Capitalised!K62</f>
        <v>0.15161502841202457</v>
      </c>
      <c r="L45" s="146">
        <f>Capitalised!L62</f>
        <v>5.7940484541912807E-2</v>
      </c>
      <c r="M45" s="146">
        <f>Capitalised!M62</f>
        <v>0.22453555213266063</v>
      </c>
      <c r="N45" s="146">
        <f>Capitalised!N62</f>
        <v>0.52593490754970695</v>
      </c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101"/>
      <c r="B47" s="39"/>
      <c r="C47" s="39"/>
      <c r="D47" s="39"/>
      <c r="E47" s="101" t="s">
        <v>404</v>
      </c>
      <c r="F47" s="39"/>
      <c r="G47" s="101" t="s">
        <v>44</v>
      </c>
      <c r="H47" s="115"/>
      <c r="I47" s="111" t="s">
        <v>314</v>
      </c>
      <c r="J47" s="115">
        <f>($H$27 * J43) + ($H$29 * J45)</f>
        <v>0.12212279516391364</v>
      </c>
      <c r="K47" s="115">
        <f>($H$27 * K43) + ($H$29 * K45)</f>
        <v>0.17080869859932318</v>
      </c>
      <c r="L47" s="115">
        <f>($H$27 * L43) + ($H$29 * L45)</f>
        <v>6.5883173823167218E-2</v>
      </c>
      <c r="M47" s="115">
        <f>($H$27 * M43) + ($H$29 * M45)</f>
        <v>0.21247373591882596</v>
      </c>
      <c r="N47" s="115">
        <f>($H$27 * N43) + ($H$29 * N45)</f>
        <v>0.42871159649477009</v>
      </c>
      <c r="O47" s="65"/>
      <c r="P47" s="101" t="s">
        <v>578</v>
      </c>
    </row>
    <row r="48" spans="1:16" x14ac:dyDescent="0.25">
      <c r="A48" s="39"/>
      <c r="B48" s="39"/>
      <c r="C48" s="39"/>
      <c r="D48" s="39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39"/>
      <c r="E49" s="101" t="s">
        <v>239</v>
      </c>
      <c r="F49" s="39"/>
      <c r="G49" s="101" t="s">
        <v>231</v>
      </c>
      <c r="H49" s="163">
        <f>IF(SUM(J47:N47)= 1, 0, 1)</f>
        <v>0</v>
      </c>
      <c r="I49" s="116"/>
      <c r="J49" s="116"/>
      <c r="K49" s="116"/>
      <c r="L49" s="116"/>
      <c r="M49" s="116"/>
      <c r="N49" s="116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93" t="s">
        <v>406</v>
      </c>
      <c r="C51" s="93"/>
      <c r="D51" s="93"/>
      <c r="E51" s="93"/>
      <c r="F51" s="93"/>
      <c r="G51" s="93"/>
      <c r="H51" s="94"/>
      <c r="I51" s="94"/>
      <c r="J51" s="94"/>
      <c r="K51" s="94"/>
      <c r="L51" s="94"/>
      <c r="M51" s="94"/>
      <c r="N51" s="94"/>
      <c r="O51" s="94"/>
      <c r="P51" s="93"/>
    </row>
    <row r="52" spans="1:1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39"/>
    </row>
    <row r="53" spans="1:16" x14ac:dyDescent="0.25">
      <c r="A53" s="39"/>
      <c r="B53" s="39"/>
      <c r="C53" s="95" t="s">
        <v>504</v>
      </c>
      <c r="D53" s="95"/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65"/>
      <c r="P53" s="39"/>
    </row>
    <row r="54" spans="1:16" x14ac:dyDescent="0.25">
      <c r="A54" s="39"/>
      <c r="B54" s="39"/>
      <c r="C54" s="95" t="s">
        <v>505</v>
      </c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39"/>
    </row>
    <row r="55" spans="1:16" x14ac:dyDescent="0.25">
      <c r="A55" s="39"/>
      <c r="B55" s="39"/>
      <c r="C55" s="95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39"/>
    </row>
    <row r="56" spans="1:16" x14ac:dyDescent="0.25">
      <c r="A56" s="39"/>
      <c r="B56" s="39"/>
      <c r="C56" s="96" t="s">
        <v>639</v>
      </c>
      <c r="D56" s="96"/>
      <c r="E56" s="96"/>
      <c r="F56" s="96"/>
      <c r="G56" s="96"/>
      <c r="H56" s="97"/>
      <c r="I56" s="97"/>
      <c r="J56" s="97"/>
      <c r="K56" s="97"/>
      <c r="L56" s="97"/>
      <c r="M56" s="97"/>
      <c r="N56" s="97"/>
      <c r="O56" s="97"/>
      <c r="P56" s="96"/>
    </row>
    <row r="57" spans="1:1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39"/>
      <c r="B58" s="39"/>
      <c r="C58" s="39"/>
      <c r="D58" s="95"/>
      <c r="E58" s="101" t="str">
        <f>'DNO inputs'!E384</f>
        <v>2007/08 total allowed revenue</v>
      </c>
      <c r="F58" s="39"/>
      <c r="G58" s="101" t="str">
        <f>'DNO inputs'!G384</f>
        <v>£ per year</v>
      </c>
      <c r="H58" s="132">
        <f>'DNO inputs'!H384</f>
        <v>285365694.00000006</v>
      </c>
      <c r="I58" s="110"/>
      <c r="J58" s="110"/>
      <c r="K58" s="110"/>
      <c r="L58" s="110"/>
      <c r="M58" s="110"/>
      <c r="N58" s="110"/>
      <c r="O58" s="65"/>
      <c r="P58" s="39"/>
    </row>
    <row r="59" spans="1:16" x14ac:dyDescent="0.25">
      <c r="A59" s="39"/>
      <c r="B59" s="39"/>
      <c r="C59" s="39"/>
      <c r="D59" s="39"/>
      <c r="E59" s="95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39"/>
    </row>
    <row r="60" spans="1:16" x14ac:dyDescent="0.25">
      <c r="A60" s="39"/>
      <c r="B60" s="39"/>
      <c r="C60" s="39"/>
      <c r="D60" s="39"/>
      <c r="E60" s="101" t="str">
        <f>'DNO inputs'!E390</f>
        <v>2007/08 net incentive revenue</v>
      </c>
      <c r="F60" s="39"/>
      <c r="G60" s="101" t="str">
        <f>'DNO inputs'!G390</f>
        <v>£ per year</v>
      </c>
      <c r="H60" s="132">
        <f>'DNO inputs'!H390</f>
        <v>7172595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39"/>
      <c r="B62" s="39"/>
      <c r="C62" s="39"/>
      <c r="D62" s="39"/>
      <c r="E62" s="101" t="s">
        <v>344</v>
      </c>
      <c r="F62" s="39"/>
      <c r="G62" s="101" t="s">
        <v>438</v>
      </c>
      <c r="H62" s="132">
        <f>'DNO inputs'!H293</f>
        <v>8000000</v>
      </c>
      <c r="I62" s="110"/>
      <c r="J62" s="110"/>
      <c r="K62" s="110"/>
      <c r="L62" s="110"/>
      <c r="M62" s="110"/>
      <c r="N62" s="110"/>
      <c r="O62" s="65"/>
      <c r="P62" s="39"/>
    </row>
    <row r="63" spans="1:1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39"/>
    </row>
    <row r="64" spans="1:16" x14ac:dyDescent="0.25">
      <c r="A64" s="101"/>
      <c r="B64" s="39"/>
      <c r="C64" s="39"/>
      <c r="D64" s="39"/>
      <c r="E64" s="101" t="s">
        <v>255</v>
      </c>
      <c r="F64" s="39"/>
      <c r="G64" s="101" t="s">
        <v>438</v>
      </c>
      <c r="H64" s="110">
        <f>H60 + H62</f>
        <v>15172595</v>
      </c>
      <c r="I64" s="123" t="s">
        <v>314</v>
      </c>
      <c r="J64" s="110"/>
      <c r="K64" s="110"/>
      <c r="L64" s="110"/>
      <c r="M64" s="110"/>
      <c r="N64" s="110"/>
      <c r="O64" s="65"/>
      <c r="P64" s="101" t="s">
        <v>606</v>
      </c>
    </row>
    <row r="65" spans="1:1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39"/>
    </row>
    <row r="66" spans="1:16" x14ac:dyDescent="0.25">
      <c r="A66" s="101"/>
      <c r="B66" s="39"/>
      <c r="C66" s="39"/>
      <c r="D66" s="39"/>
      <c r="E66" s="101" t="s">
        <v>407</v>
      </c>
      <c r="F66" s="39"/>
      <c r="G66" s="101" t="s">
        <v>438</v>
      </c>
      <c r="H66" s="110">
        <f>H58 - H64</f>
        <v>270193099.00000006</v>
      </c>
      <c r="I66" s="123" t="s">
        <v>314</v>
      </c>
      <c r="J66" s="110"/>
      <c r="K66" s="110"/>
      <c r="L66" s="110"/>
      <c r="M66" s="110"/>
      <c r="N66" s="110"/>
      <c r="O66" s="65"/>
      <c r="P66" s="101" t="s">
        <v>571</v>
      </c>
    </row>
    <row r="67" spans="1:16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65"/>
      <c r="P67" s="39"/>
    </row>
    <row r="68" spans="1:16" x14ac:dyDescent="0.25">
      <c r="A68" s="101"/>
      <c r="B68" s="39"/>
      <c r="C68" s="39"/>
      <c r="D68" s="39"/>
      <c r="E68" s="98" t="s">
        <v>408</v>
      </c>
      <c r="F68" s="39"/>
      <c r="G68" s="39"/>
      <c r="H68" s="65"/>
      <c r="I68" s="112" t="s">
        <v>314</v>
      </c>
      <c r="J68" s="65"/>
      <c r="K68" s="65"/>
      <c r="L68" s="65"/>
      <c r="M68" s="65"/>
      <c r="N68" s="65"/>
      <c r="O68" s="65"/>
      <c r="P68" s="101" t="s">
        <v>579</v>
      </c>
    </row>
    <row r="69" spans="1:16" x14ac:dyDescent="0.25">
      <c r="A69" s="39"/>
      <c r="B69" s="39"/>
      <c r="C69" s="39"/>
      <c r="D69" s="39"/>
      <c r="E69" s="39"/>
      <c r="F69" s="99" t="s">
        <v>267</v>
      </c>
      <c r="G69" s="99" t="s">
        <v>438</v>
      </c>
      <c r="H69" s="125"/>
      <c r="I69" s="125"/>
      <c r="J69" s="138">
        <f>$H66 * J37</f>
        <v>31896357.504412327</v>
      </c>
      <c r="K69" s="138">
        <f>$H66 * K37</f>
        <v>43367099.292201467</v>
      </c>
      <c r="L69" s="138">
        <f>$H66 * L37</f>
        <v>16842052.180729706</v>
      </c>
      <c r="M69" s="138">
        <f>$H66 * M37</f>
        <v>53703552.975079939</v>
      </c>
      <c r="N69" s="138">
        <f>$H66 * N37</f>
        <v>124384037.04757661</v>
      </c>
      <c r="O69" s="65"/>
      <c r="P69" s="39"/>
    </row>
    <row r="70" spans="1:16" x14ac:dyDescent="0.25">
      <c r="A70" s="39"/>
      <c r="B70" s="39"/>
      <c r="C70" s="39"/>
      <c r="D70" s="39"/>
      <c r="E70" s="39"/>
      <c r="F70" s="103" t="s">
        <v>268</v>
      </c>
      <c r="G70" s="103" t="s">
        <v>438</v>
      </c>
      <c r="H70" s="126"/>
      <c r="I70" s="127"/>
      <c r="J70" s="127">
        <f>$H66 * J47</f>
        <v>32996736.483880047</v>
      </c>
      <c r="K70" s="127">
        <f>$H66 * K47</f>
        <v>46151331.610708103</v>
      </c>
      <c r="L70" s="127">
        <f>$H66 * L47</f>
        <v>17801178.907237232</v>
      </c>
      <c r="M70" s="127">
        <f>$H66 * M47</f>
        <v>57408937.164015211</v>
      </c>
      <c r="N70" s="127">
        <f>$H66 * N47</f>
        <v>115834914.83415949</v>
      </c>
      <c r="O70" s="65"/>
      <c r="P70" s="39"/>
    </row>
    <row r="71" spans="1:1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39"/>
    </row>
    <row r="72" spans="1:16" x14ac:dyDescent="0.25">
      <c r="A72" s="39"/>
      <c r="B72" s="39"/>
      <c r="C72" s="96" t="s">
        <v>640</v>
      </c>
      <c r="D72" s="96"/>
      <c r="E72" s="96"/>
      <c r="F72" s="96"/>
      <c r="G72" s="96"/>
      <c r="H72" s="97"/>
      <c r="I72" s="97"/>
      <c r="J72" s="97"/>
      <c r="K72" s="97"/>
      <c r="L72" s="97"/>
      <c r="M72" s="97"/>
      <c r="N72" s="97"/>
      <c r="O72" s="97"/>
      <c r="P72" s="96"/>
    </row>
    <row r="73" spans="1:16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39"/>
    </row>
    <row r="74" spans="1:16" x14ac:dyDescent="0.25">
      <c r="A74" s="39"/>
      <c r="B74" s="39"/>
      <c r="C74" s="39"/>
      <c r="D74" s="95"/>
      <c r="E74" s="101" t="str">
        <f>'DNO inputs'!E397</f>
        <v>Additional DNO revenue</v>
      </c>
      <c r="F74" s="39"/>
      <c r="G74" s="101" t="str">
        <f>'DNO inputs'!G397</f>
        <v>£ per year</v>
      </c>
      <c r="H74" s="132">
        <f>'DNO inputs'!H397</f>
        <v>10309999.999999998</v>
      </c>
      <c r="I74" s="110"/>
      <c r="J74" s="110"/>
      <c r="K74" s="110"/>
      <c r="L74" s="110"/>
      <c r="M74" s="110"/>
      <c r="N74" s="110"/>
      <c r="O74" s="65"/>
      <c r="P74" s="39"/>
    </row>
    <row r="75" spans="1:1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39"/>
    </row>
    <row r="76" spans="1:16" x14ac:dyDescent="0.25">
      <c r="A76" s="101"/>
      <c r="B76" s="39"/>
      <c r="C76" s="39"/>
      <c r="D76" s="39"/>
      <c r="E76" s="98" t="s">
        <v>348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101" t="s">
        <v>580</v>
      </c>
    </row>
    <row r="77" spans="1:16" x14ac:dyDescent="0.25">
      <c r="A77" s="39"/>
      <c r="B77" s="39"/>
      <c r="C77" s="39"/>
      <c r="D77" s="39"/>
      <c r="E77" s="39"/>
      <c r="F77" s="99" t="s">
        <v>267</v>
      </c>
      <c r="G77" s="99" t="s">
        <v>438</v>
      </c>
      <c r="H77" s="125"/>
      <c r="I77" s="125"/>
      <c r="J77" s="138">
        <f>$H74 * J33</f>
        <v>3064204.6950149229</v>
      </c>
      <c r="K77" s="138">
        <f>$H74 * K33</f>
        <v>2139507.8504513083</v>
      </c>
      <c r="L77" s="138">
        <f>$H74 * L33</f>
        <v>850501.35855445371</v>
      </c>
      <c r="M77" s="138">
        <f>$H74 * M33</f>
        <v>1883019.6306101053</v>
      </c>
      <c r="N77" s="138">
        <f>$H74 * N33</f>
        <v>2372766.4653692087</v>
      </c>
      <c r="O77" s="65"/>
      <c r="P77" s="39"/>
    </row>
    <row r="78" spans="1:16" x14ac:dyDescent="0.25">
      <c r="A78" s="39"/>
      <c r="B78" s="39"/>
      <c r="C78" s="39"/>
      <c r="D78" s="39"/>
      <c r="E78" s="39"/>
      <c r="F78" s="103" t="s">
        <v>268</v>
      </c>
      <c r="G78" s="103" t="s">
        <v>438</v>
      </c>
      <c r="H78" s="126"/>
      <c r="I78" s="127"/>
      <c r="J78" s="127">
        <f>$H74 * J43</f>
        <v>3124059.9237347413</v>
      </c>
      <c r="K78" s="127">
        <f>$H74 * K43</f>
        <v>2196779.9950786429</v>
      </c>
      <c r="L78" s="127">
        <f>$H74 * L43</f>
        <v>859573.60413375206</v>
      </c>
      <c r="M78" s="127">
        <f>$H74 * M43</f>
        <v>1916772.0820975441</v>
      </c>
      <c r="N78" s="127">
        <f>$H74 * N43</f>
        <v>2212814.3949553194</v>
      </c>
      <c r="O78" s="65"/>
      <c r="P78" s="39"/>
    </row>
    <row r="79" spans="1:1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39"/>
    </row>
    <row r="80" spans="1:16" x14ac:dyDescent="0.25">
      <c r="A80" s="39"/>
      <c r="B80" s="39"/>
      <c r="C80" s="96" t="s">
        <v>641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6"/>
    </row>
    <row r="81" spans="1:1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39"/>
    </row>
    <row r="82" spans="1:16" x14ac:dyDescent="0.25">
      <c r="A82" s="101"/>
      <c r="B82" s="39"/>
      <c r="C82" s="39"/>
      <c r="D82" s="95"/>
      <c r="E82" s="98" t="s">
        <v>345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101" t="s">
        <v>580</v>
      </c>
    </row>
    <row r="83" spans="1:16" x14ac:dyDescent="0.25">
      <c r="A83" s="39"/>
      <c r="B83" s="39"/>
      <c r="C83" s="39"/>
      <c r="D83" s="39"/>
      <c r="E83" s="39"/>
      <c r="F83" s="99" t="s">
        <v>267</v>
      </c>
      <c r="G83" s="99" t="s">
        <v>438</v>
      </c>
      <c r="H83" s="125"/>
      <c r="I83" s="125"/>
      <c r="J83" s="125">
        <f t="shared" ref="J83:N84" si="0">J69 + J77</f>
        <v>34960562.199427247</v>
      </c>
      <c r="K83" s="125">
        <f t="shared" si="0"/>
        <v>45506607.142652772</v>
      </c>
      <c r="L83" s="125">
        <f t="shared" si="0"/>
        <v>17692553.539284158</v>
      </c>
      <c r="M83" s="125">
        <f t="shared" si="0"/>
        <v>55586572.605690047</v>
      </c>
      <c r="N83" s="125">
        <f t="shared" si="0"/>
        <v>126756803.51294582</v>
      </c>
      <c r="O83" s="65"/>
      <c r="P83" s="39"/>
    </row>
    <row r="84" spans="1:16" x14ac:dyDescent="0.25">
      <c r="A84" s="39"/>
      <c r="B84" s="39"/>
      <c r="C84" s="39"/>
      <c r="D84" s="39"/>
      <c r="E84" s="39"/>
      <c r="F84" s="103" t="s">
        <v>268</v>
      </c>
      <c r="G84" s="103" t="s">
        <v>438</v>
      </c>
      <c r="H84" s="126"/>
      <c r="I84" s="127"/>
      <c r="J84" s="127">
        <f t="shared" si="0"/>
        <v>36120796.40761479</v>
      </c>
      <c r="K84" s="127">
        <f t="shared" si="0"/>
        <v>48348111.605786748</v>
      </c>
      <c r="L84" s="127">
        <f t="shared" si="0"/>
        <v>18660752.511370983</v>
      </c>
      <c r="M84" s="127">
        <f t="shared" si="0"/>
        <v>59325709.246112756</v>
      </c>
      <c r="N84" s="127">
        <f t="shared" si="0"/>
        <v>118047729.22911482</v>
      </c>
      <c r="O84" s="65"/>
      <c r="P84" s="39"/>
    </row>
    <row r="85" spans="1:16" x14ac:dyDescent="0.25">
      <c r="A85" s="39"/>
      <c r="B85" s="39"/>
      <c r="C85" s="39"/>
      <c r="D85" s="39"/>
      <c r="E85" s="39"/>
      <c r="F85" s="39"/>
      <c r="G85" s="39"/>
      <c r="H85" s="65"/>
      <c r="I85" s="65"/>
      <c r="J85" s="65"/>
      <c r="K85" s="65"/>
      <c r="L85" s="65"/>
      <c r="M85" s="65"/>
      <c r="N85" s="65"/>
      <c r="O85" s="65"/>
      <c r="P85" s="39"/>
    </row>
    <row r="86" spans="1:16" x14ac:dyDescent="0.25">
      <c r="A86" s="39"/>
      <c r="B86" s="93" t="s">
        <v>256</v>
      </c>
      <c r="C86" s="93"/>
      <c r="D86" s="93"/>
      <c r="E86" s="93"/>
      <c r="F86" s="93"/>
      <c r="G86" s="93"/>
      <c r="H86" s="94"/>
      <c r="I86" s="94"/>
      <c r="J86" s="94"/>
      <c r="K86" s="94"/>
      <c r="L86" s="94"/>
      <c r="M86" s="94"/>
      <c r="N86" s="94"/>
      <c r="O86" s="94"/>
      <c r="P86" s="93"/>
    </row>
    <row r="87" spans="1:1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39"/>
    </row>
    <row r="88" spans="1:16" x14ac:dyDescent="0.25">
      <c r="A88" s="39"/>
      <c r="B88" s="39"/>
      <c r="C88" s="95" t="s">
        <v>705</v>
      </c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39"/>
    </row>
    <row r="89" spans="1:16" x14ac:dyDescent="0.25">
      <c r="A89" s="39"/>
      <c r="B89" s="39"/>
      <c r="C89" s="95"/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65"/>
      <c r="P89" s="39"/>
    </row>
    <row r="90" spans="1:16" x14ac:dyDescent="0.25">
      <c r="A90" s="39"/>
      <c r="B90" s="39"/>
      <c r="C90" s="96" t="s">
        <v>642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7"/>
      <c r="P90" s="96"/>
    </row>
    <row r="91" spans="1:16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65"/>
      <c r="P91" s="39"/>
    </row>
    <row r="92" spans="1:16" x14ac:dyDescent="0.25">
      <c r="A92" s="39"/>
      <c r="B92" s="39"/>
      <c r="C92" s="39"/>
      <c r="D92" s="39"/>
      <c r="E92" s="98" t="str">
        <f>'DNO inputs'!E403</f>
        <v>2007/08 units distributed, by network level</v>
      </c>
      <c r="F92" s="39"/>
      <c r="G92" s="39"/>
      <c r="H92" s="65"/>
      <c r="I92" s="65"/>
      <c r="J92" s="65"/>
      <c r="K92" s="65"/>
      <c r="L92" s="65"/>
      <c r="M92" s="65"/>
      <c r="N92" s="65"/>
      <c r="O92" s="65"/>
      <c r="P92" s="39"/>
    </row>
    <row r="93" spans="1:16" x14ac:dyDescent="0.25">
      <c r="A93" s="39"/>
      <c r="B93" s="39"/>
      <c r="C93" s="39"/>
      <c r="D93" s="39"/>
      <c r="E93" s="39"/>
      <c r="F93" s="99" t="str">
        <f>'DNO inputs'!F404</f>
        <v>EHV and 132kV</v>
      </c>
      <c r="G93" s="99" t="str">
        <f>'DNO inputs'!G404</f>
        <v>GWh per year</v>
      </c>
      <c r="H93" s="136">
        <f>'DNO inputs'!H404</f>
        <v>616</v>
      </c>
      <c r="I93" s="110"/>
      <c r="J93" s="110"/>
      <c r="K93" s="110"/>
      <c r="L93" s="110"/>
      <c r="M93" s="110"/>
      <c r="N93" s="110"/>
      <c r="O93" s="65"/>
      <c r="P93" s="39"/>
    </row>
    <row r="94" spans="1:16" x14ac:dyDescent="0.25">
      <c r="A94" s="39"/>
      <c r="B94" s="39"/>
      <c r="C94" s="39"/>
      <c r="D94" s="39"/>
      <c r="E94" s="39"/>
      <c r="F94" s="101" t="str">
        <f>'DNO inputs'!F405</f>
        <v>HV</v>
      </c>
      <c r="G94" s="101" t="str">
        <f>'DNO inputs'!G405</f>
        <v>GWh per year</v>
      </c>
      <c r="H94" s="132">
        <f>'DNO inputs'!H405</f>
        <v>9051</v>
      </c>
      <c r="I94" s="110"/>
      <c r="J94" s="110"/>
      <c r="K94" s="110"/>
      <c r="L94" s="110"/>
      <c r="M94" s="110"/>
      <c r="N94" s="110"/>
      <c r="O94" s="65"/>
      <c r="P94" s="39"/>
    </row>
    <row r="95" spans="1:16" x14ac:dyDescent="0.25">
      <c r="A95" s="39"/>
      <c r="B95" s="39"/>
      <c r="C95" s="39"/>
      <c r="D95" s="39"/>
      <c r="E95" s="39"/>
      <c r="F95" s="103" t="str">
        <f>'DNO inputs'!F406</f>
        <v>LV</v>
      </c>
      <c r="G95" s="103" t="str">
        <f>'DNO inputs'!G406</f>
        <v>GWh per year</v>
      </c>
      <c r="H95" s="137">
        <f>'DNO inputs'!H406</f>
        <v>17084</v>
      </c>
      <c r="I95" s="110"/>
      <c r="J95" s="110"/>
      <c r="K95" s="110"/>
      <c r="L95" s="110"/>
      <c r="M95" s="110"/>
      <c r="N95" s="110"/>
      <c r="O95" s="65"/>
      <c r="P95" s="39"/>
    </row>
    <row r="96" spans="1:1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39"/>
    </row>
    <row r="97" spans="1:16" x14ac:dyDescent="0.25">
      <c r="A97" s="39"/>
      <c r="B97" s="39"/>
      <c r="C97" s="39"/>
      <c r="D97" s="39"/>
      <c r="E97" s="98" t="str">
        <f>'Fixed inputs'!E379</f>
        <v>Units distributed coefficient for the calculation of "U", by network level</v>
      </c>
      <c r="F97" s="39"/>
      <c r="G97" s="39"/>
      <c r="H97" s="65"/>
      <c r="I97" s="65"/>
      <c r="J97" s="65"/>
      <c r="K97" s="65"/>
      <c r="L97" s="65"/>
      <c r="M97" s="65"/>
      <c r="N97" s="65"/>
      <c r="O97" s="65"/>
      <c r="P97" s="39"/>
    </row>
    <row r="98" spans="1:16" x14ac:dyDescent="0.25">
      <c r="A98" s="39"/>
      <c r="B98" s="39"/>
      <c r="C98" s="39"/>
      <c r="D98" s="39"/>
      <c r="E98" s="39"/>
      <c r="F98" s="99" t="str">
        <f>'Fixed inputs'!F380</f>
        <v>EHV and 132kV</v>
      </c>
      <c r="G98" s="99" t="str">
        <f>'Fixed inputs'!G380</f>
        <v>scalar</v>
      </c>
      <c r="H98" s="136">
        <f>'Fixed inputs'!H380</f>
        <v>0.25</v>
      </c>
      <c r="I98" s="110"/>
      <c r="J98" s="110"/>
      <c r="K98" s="110"/>
      <c r="L98" s="110"/>
      <c r="M98" s="110"/>
      <c r="N98" s="110"/>
      <c r="O98" s="65"/>
      <c r="P98" s="39"/>
    </row>
    <row r="99" spans="1:16" x14ac:dyDescent="0.25">
      <c r="A99" s="39"/>
      <c r="B99" s="39"/>
      <c r="C99" s="39"/>
      <c r="D99" s="39"/>
      <c r="E99" s="39"/>
      <c r="F99" s="101" t="str">
        <f>'Fixed inputs'!F381</f>
        <v>HV</v>
      </c>
      <c r="G99" s="101" t="str">
        <f>'Fixed inputs'!G381</f>
        <v>scalar</v>
      </c>
      <c r="H99" s="132">
        <f>'Fixed inputs'!H381</f>
        <v>0.5</v>
      </c>
      <c r="I99" s="110"/>
      <c r="J99" s="110"/>
      <c r="K99" s="110"/>
      <c r="L99" s="110"/>
      <c r="M99" s="110"/>
      <c r="N99" s="110"/>
      <c r="O99" s="65"/>
      <c r="P99" s="39"/>
    </row>
    <row r="100" spans="1:16" x14ac:dyDescent="0.25">
      <c r="A100" s="39"/>
      <c r="B100" s="39"/>
      <c r="C100" s="39"/>
      <c r="D100" s="39"/>
      <c r="E100" s="39"/>
      <c r="F100" s="103" t="str">
        <f>'Fixed inputs'!F382</f>
        <v>LV</v>
      </c>
      <c r="G100" s="103" t="str">
        <f>'Fixed inputs'!G382</f>
        <v>scalar</v>
      </c>
      <c r="H100" s="137">
        <f>'Fixed inputs'!H382</f>
        <v>1</v>
      </c>
      <c r="I100" s="110"/>
      <c r="J100" s="110"/>
      <c r="K100" s="110"/>
      <c r="L100" s="110"/>
      <c r="M100" s="110"/>
      <c r="N100" s="110"/>
      <c r="O100" s="65"/>
      <c r="P100" s="39"/>
    </row>
    <row r="101" spans="1:16" x14ac:dyDescent="0.25">
      <c r="A101" s="39"/>
      <c r="B101" s="39"/>
      <c r="C101" s="39"/>
      <c r="D101" s="39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39"/>
    </row>
    <row r="102" spans="1:16" x14ac:dyDescent="0.25">
      <c r="A102" s="101"/>
      <c r="B102" s="39"/>
      <c r="C102" s="39"/>
      <c r="D102" s="39"/>
      <c r="E102" s="101" t="s">
        <v>257</v>
      </c>
      <c r="F102" s="39"/>
      <c r="G102" s="101" t="s">
        <v>258</v>
      </c>
      <c r="H102" s="110">
        <f>SUMPRODUCT(H98:H100, H93:H95)</f>
        <v>21763.5</v>
      </c>
      <c r="I102" s="123" t="s">
        <v>314</v>
      </c>
      <c r="J102" s="110"/>
      <c r="K102" s="110"/>
      <c r="L102" s="110"/>
      <c r="M102" s="110"/>
      <c r="N102" s="110"/>
      <c r="O102" s="65"/>
      <c r="P102" s="101" t="s">
        <v>567</v>
      </c>
    </row>
    <row r="103" spans="1:16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65"/>
      <c r="P103" s="39"/>
    </row>
    <row r="104" spans="1:16" x14ac:dyDescent="0.25">
      <c r="A104" s="39"/>
      <c r="B104" s="39"/>
      <c r="C104" s="39"/>
      <c r="D104" s="39"/>
      <c r="E104" s="101" t="str">
        <f>'DNO inputs'!E412</f>
        <v>2007/08 network losses</v>
      </c>
      <c r="F104" s="39"/>
      <c r="G104" s="101" t="str">
        <f>'DNO inputs'!G412</f>
        <v>GWh per year</v>
      </c>
      <c r="H104" s="132">
        <f>'DNO inputs'!H412</f>
        <v>1381</v>
      </c>
      <c r="I104" s="110"/>
      <c r="J104" s="110"/>
      <c r="K104" s="110"/>
      <c r="L104" s="110"/>
      <c r="M104" s="110"/>
      <c r="N104" s="110"/>
      <c r="O104" s="65"/>
      <c r="P104" s="39"/>
    </row>
    <row r="105" spans="1:16" x14ac:dyDescent="0.25">
      <c r="A105" s="39"/>
      <c r="B105" s="39"/>
      <c r="C105" s="39"/>
      <c r="D105" s="39"/>
      <c r="E105" s="95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39"/>
    </row>
    <row r="106" spans="1:16" x14ac:dyDescent="0.25">
      <c r="A106" s="39"/>
      <c r="B106" s="39"/>
      <c r="C106" s="39"/>
      <c r="D106" s="39"/>
      <c r="E106" s="101" t="s">
        <v>530</v>
      </c>
      <c r="F106" s="39"/>
      <c r="G106" s="101" t="s">
        <v>470</v>
      </c>
      <c r="H106" s="110" t="b">
        <f>H102 + H104 &gt; 0</f>
        <v>1</v>
      </c>
      <c r="I106" s="110"/>
      <c r="J106" s="110"/>
      <c r="K106" s="110"/>
      <c r="L106" s="110"/>
      <c r="M106" s="110"/>
      <c r="N106" s="110"/>
      <c r="O106" s="65"/>
      <c r="P106" s="39"/>
    </row>
    <row r="107" spans="1:16" x14ac:dyDescent="0.25">
      <c r="A107" s="39"/>
      <c r="B107" s="39"/>
      <c r="C107" s="39"/>
      <c r="D107" s="39"/>
      <c r="E107" s="95"/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39"/>
    </row>
    <row r="108" spans="1:16" x14ac:dyDescent="0.25">
      <c r="A108" s="39"/>
      <c r="B108" s="39"/>
      <c r="C108" s="39"/>
      <c r="D108" s="39"/>
      <c r="E108" s="98" t="str">
        <f>'Fixed inputs'!E388</f>
        <v>Losses coefficient for the calculation of adjustment factors for units distributed, by network level</v>
      </c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39"/>
    </row>
    <row r="109" spans="1:16" x14ac:dyDescent="0.25">
      <c r="A109" s="39"/>
      <c r="B109" s="39"/>
      <c r="C109" s="39"/>
      <c r="D109" s="39"/>
      <c r="E109" s="39"/>
      <c r="F109" s="99" t="str">
        <f>'Fixed inputs'!F389</f>
        <v>EHV and 132kV</v>
      </c>
      <c r="G109" s="99" t="str">
        <f>'Fixed inputs'!G389</f>
        <v>scalar</v>
      </c>
      <c r="H109" s="136">
        <f>'Fixed inputs'!H389</f>
        <v>0.25</v>
      </c>
      <c r="I109" s="110"/>
      <c r="J109" s="110"/>
      <c r="K109" s="110"/>
      <c r="L109" s="110"/>
      <c r="M109" s="110"/>
      <c r="N109" s="110"/>
      <c r="O109" s="65"/>
      <c r="P109" s="39"/>
    </row>
    <row r="110" spans="1:16" x14ac:dyDescent="0.25">
      <c r="A110" s="39"/>
      <c r="B110" s="39"/>
      <c r="C110" s="39"/>
      <c r="D110" s="39"/>
      <c r="E110" s="39"/>
      <c r="F110" s="101" t="str">
        <f>'Fixed inputs'!F390</f>
        <v>HV</v>
      </c>
      <c r="G110" s="101" t="str">
        <f>'Fixed inputs'!G390</f>
        <v>scalar</v>
      </c>
      <c r="H110" s="132">
        <f>'Fixed inputs'!H390</f>
        <v>0.5</v>
      </c>
      <c r="I110" s="110"/>
      <c r="J110" s="110"/>
      <c r="K110" s="110"/>
      <c r="L110" s="110"/>
      <c r="M110" s="110"/>
      <c r="N110" s="110"/>
      <c r="O110" s="65"/>
      <c r="P110" s="39"/>
    </row>
    <row r="111" spans="1:16" x14ac:dyDescent="0.25">
      <c r="A111" s="39"/>
      <c r="B111" s="39"/>
      <c r="C111" s="39"/>
      <c r="D111" s="39"/>
      <c r="E111" s="39"/>
      <c r="F111" s="103" t="str">
        <f>'Fixed inputs'!F391</f>
        <v>LV</v>
      </c>
      <c r="G111" s="103" t="str">
        <f>'Fixed inputs'!G391</f>
        <v>scalar</v>
      </c>
      <c r="H111" s="164"/>
      <c r="I111" s="110"/>
      <c r="J111" s="110"/>
      <c r="K111" s="110"/>
      <c r="L111" s="110"/>
      <c r="M111" s="110"/>
      <c r="N111" s="110"/>
      <c r="O111" s="65"/>
      <c r="P111" s="39"/>
    </row>
    <row r="112" spans="1:16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39"/>
    </row>
    <row r="113" spans="1:16" x14ac:dyDescent="0.25">
      <c r="A113" s="39"/>
      <c r="B113" s="39"/>
      <c r="C113" s="39"/>
      <c r="D113" s="39"/>
      <c r="E113" s="98" t="s">
        <v>259</v>
      </c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39"/>
    </row>
    <row r="114" spans="1:16" x14ac:dyDescent="0.25">
      <c r="A114" s="101"/>
      <c r="B114" s="39"/>
      <c r="C114" s="39"/>
      <c r="D114" s="39"/>
      <c r="E114" s="39"/>
      <c r="F114" s="99" t="s">
        <v>541</v>
      </c>
      <c r="G114" s="99" t="s">
        <v>179</v>
      </c>
      <c r="H114" s="125"/>
      <c r="I114" s="165" t="s">
        <v>314</v>
      </c>
      <c r="J114" s="113"/>
      <c r="K114" s="113"/>
      <c r="L114" s="113"/>
      <c r="M114" s="113"/>
      <c r="N114" s="125">
        <f>IF($H$106, ($H$102 + $H109 * $H$104) / ($H$102 + $H$104), N$116)</f>
        <v>0.95524854717103413</v>
      </c>
      <c r="O114" s="65"/>
      <c r="P114" s="101" t="s">
        <v>567</v>
      </c>
    </row>
    <row r="115" spans="1:16" x14ac:dyDescent="0.25">
      <c r="A115" s="101"/>
      <c r="B115" s="39"/>
      <c r="C115" s="39"/>
      <c r="D115" s="39"/>
      <c r="E115" s="39"/>
      <c r="F115" s="101" t="s">
        <v>542</v>
      </c>
      <c r="G115" s="101" t="s">
        <v>179</v>
      </c>
      <c r="H115" s="110"/>
      <c r="I115" s="123" t="s">
        <v>314</v>
      </c>
      <c r="J115" s="140"/>
      <c r="K115" s="140"/>
      <c r="L115" s="140"/>
      <c r="M115" s="110">
        <f>IF($H$106, ($H$102 + $H110 * $H$104) / ($H$102 + $H$104), M$116)</f>
        <v>0.97016569811402276</v>
      </c>
      <c r="N115" s="110">
        <f>IF($H$106, ($H$102 + $H110 * $H$104) / ($H$102 + $H$104), N$116)</f>
        <v>0.97016569811402276</v>
      </c>
      <c r="O115" s="65"/>
      <c r="P115" s="101" t="s">
        <v>567</v>
      </c>
    </row>
    <row r="116" spans="1:16" x14ac:dyDescent="0.25">
      <c r="A116" s="101"/>
      <c r="B116" s="39"/>
      <c r="C116" s="39"/>
      <c r="D116" s="39"/>
      <c r="E116" s="39"/>
      <c r="F116" s="103" t="s">
        <v>543</v>
      </c>
      <c r="G116" s="103" t="s">
        <v>179</v>
      </c>
      <c r="H116" s="126"/>
      <c r="I116" s="166" t="s">
        <v>314</v>
      </c>
      <c r="J116" s="38">
        <v>1</v>
      </c>
      <c r="K116" s="38">
        <v>1</v>
      </c>
      <c r="L116" s="38">
        <v>1</v>
      </c>
      <c r="M116" s="38">
        <v>1</v>
      </c>
      <c r="N116" s="38">
        <v>1</v>
      </c>
      <c r="O116" s="65"/>
      <c r="P116" s="101" t="s">
        <v>567</v>
      </c>
    </row>
    <row r="117" spans="1:16" x14ac:dyDescent="0.25">
      <c r="A117" s="39"/>
      <c r="B117" s="39"/>
      <c r="C117" s="39"/>
      <c r="D117" s="39"/>
      <c r="E117" s="39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39"/>
    </row>
    <row r="118" spans="1:16" x14ac:dyDescent="0.25">
      <c r="A118" s="101"/>
      <c r="B118" s="39"/>
      <c r="C118" s="39"/>
      <c r="D118" s="39"/>
      <c r="E118" s="101" t="s">
        <v>260</v>
      </c>
      <c r="F118" s="39"/>
      <c r="G118" s="101" t="str">
        <f>'DNO inputs'!G412</f>
        <v>GWh per year</v>
      </c>
      <c r="H118" s="110"/>
      <c r="I118" s="123" t="s">
        <v>314</v>
      </c>
      <c r="J118" s="110">
        <f>SUMPRODUCT($H93:$H95, J114:J116)</f>
        <v>17084</v>
      </c>
      <c r="K118" s="110">
        <f>SUMPRODUCT($H93:$H95, K114:K116)</f>
        <v>17084</v>
      </c>
      <c r="L118" s="110">
        <f>SUMPRODUCT($H93:$H95, L114:L116)</f>
        <v>17084</v>
      </c>
      <c r="M118" s="110">
        <f>SUMPRODUCT($H93:$H95, M114:M116)</f>
        <v>25864.96973363002</v>
      </c>
      <c r="N118" s="110">
        <f>SUMPRODUCT($H93:$H95, N114:N116)</f>
        <v>26453.402838687376</v>
      </c>
      <c r="O118" s="65"/>
      <c r="P118" s="101" t="s">
        <v>581</v>
      </c>
    </row>
    <row r="119" spans="1:1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39"/>
    </row>
    <row r="120" spans="1:16" x14ac:dyDescent="0.25">
      <c r="A120" s="39"/>
      <c r="B120" s="39"/>
      <c r="C120" s="39"/>
      <c r="D120" s="39"/>
      <c r="E120" s="101" t="s">
        <v>471</v>
      </c>
      <c r="F120" s="39"/>
      <c r="G120" s="101" t="s">
        <v>470</v>
      </c>
      <c r="H120" s="110"/>
      <c r="I120" s="110"/>
      <c r="J120" s="110" t="b">
        <f>J118 &gt; 0</f>
        <v>1</v>
      </c>
      <c r="K120" s="110" t="b">
        <f>K118 &gt; 0</f>
        <v>1</v>
      </c>
      <c r="L120" s="110" t="b">
        <f>L118 &gt; 0</f>
        <v>1</v>
      </c>
      <c r="M120" s="110" t="b">
        <f>M118 &gt; 0</f>
        <v>1</v>
      </c>
      <c r="N120" s="110" t="b">
        <f>N118 &gt; 0</f>
        <v>1</v>
      </c>
      <c r="O120" s="65"/>
      <c r="P120" s="39"/>
    </row>
    <row r="121" spans="1:1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39"/>
    </row>
    <row r="122" spans="1:16" x14ac:dyDescent="0.25">
      <c r="A122" s="39"/>
      <c r="B122" s="93" t="s">
        <v>346</v>
      </c>
      <c r="C122" s="93"/>
      <c r="D122" s="93"/>
      <c r="E122" s="93"/>
      <c r="F122" s="93"/>
      <c r="G122" s="93"/>
      <c r="H122" s="94"/>
      <c r="I122" s="94"/>
      <c r="J122" s="94"/>
      <c r="K122" s="94"/>
      <c r="L122" s="94"/>
      <c r="M122" s="94"/>
      <c r="N122" s="94"/>
      <c r="O122" s="94"/>
      <c r="P122" s="93"/>
    </row>
    <row r="123" spans="1:16" x14ac:dyDescent="0.25">
      <c r="A123" s="39"/>
      <c r="B123" s="39"/>
      <c r="C123" s="39"/>
      <c r="D123" s="39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39"/>
    </row>
    <row r="124" spans="1:16" x14ac:dyDescent="0.25">
      <c r="A124" s="39"/>
      <c r="B124" s="39"/>
      <c r="C124" s="95" t="s">
        <v>455</v>
      </c>
      <c r="D124" s="95"/>
      <c r="E124" s="39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39"/>
    </row>
    <row r="125" spans="1:16" x14ac:dyDescent="0.25">
      <c r="A125" s="39"/>
      <c r="B125" s="39"/>
      <c r="C125" s="95"/>
      <c r="D125" s="95"/>
      <c r="E125" s="39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39"/>
    </row>
    <row r="126" spans="1:16" x14ac:dyDescent="0.25">
      <c r="A126" s="39"/>
      <c r="B126" s="39"/>
      <c r="C126" s="96" t="s">
        <v>643</v>
      </c>
      <c r="D126" s="96"/>
      <c r="E126" s="96"/>
      <c r="F126" s="96"/>
      <c r="G126" s="96"/>
      <c r="H126" s="97"/>
      <c r="I126" s="97"/>
      <c r="J126" s="97"/>
      <c r="K126" s="97"/>
      <c r="L126" s="97"/>
      <c r="M126" s="97"/>
      <c r="N126" s="97"/>
      <c r="O126" s="97"/>
      <c r="P126" s="96"/>
    </row>
    <row r="127" spans="1:16" x14ac:dyDescent="0.25">
      <c r="A127" s="39"/>
      <c r="B127" s="39"/>
      <c r="C127" s="95"/>
      <c r="D127" s="95"/>
      <c r="E127" s="39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39"/>
    </row>
    <row r="128" spans="1:16" x14ac:dyDescent="0.25">
      <c r="A128" s="101"/>
      <c r="B128" s="39"/>
      <c r="C128" s="39"/>
      <c r="D128" s="95"/>
      <c r="E128" s="98" t="s">
        <v>410</v>
      </c>
      <c r="F128" s="39"/>
      <c r="G128" s="39"/>
      <c r="H128" s="65"/>
      <c r="I128" s="112" t="s">
        <v>314</v>
      </c>
      <c r="J128" s="65"/>
      <c r="K128" s="65"/>
      <c r="L128" s="65"/>
      <c r="M128" s="65"/>
      <c r="N128" s="65"/>
      <c r="O128" s="65"/>
      <c r="P128" s="101" t="s">
        <v>582</v>
      </c>
    </row>
    <row r="129" spans="1:16" x14ac:dyDescent="0.25">
      <c r="A129" s="39"/>
      <c r="B129" s="39"/>
      <c r="C129" s="39"/>
      <c r="D129" s="39"/>
      <c r="E129" s="39"/>
      <c r="F129" s="99" t="s">
        <v>267</v>
      </c>
      <c r="G129" s="99" t="s">
        <v>472</v>
      </c>
      <c r="H129" s="125"/>
      <c r="I129" s="125"/>
      <c r="J129" s="125">
        <f t="shared" ref="J129:N130" si="1">IF(J$120, J83 / J$118, 0)</f>
        <v>2046.3920744221052</v>
      </c>
      <c r="K129" s="125">
        <f t="shared" si="1"/>
        <v>2663.6974445476922</v>
      </c>
      <c r="L129" s="125">
        <f t="shared" si="1"/>
        <v>1035.6212561042003</v>
      </c>
      <c r="M129" s="125">
        <f t="shared" si="1"/>
        <v>2149.1064237904579</v>
      </c>
      <c r="N129" s="125">
        <f t="shared" si="1"/>
        <v>4791.7012524213887</v>
      </c>
      <c r="O129" s="65"/>
      <c r="P129" s="39"/>
    </row>
    <row r="130" spans="1:16" x14ac:dyDescent="0.25">
      <c r="A130" s="39"/>
      <c r="B130" s="39"/>
      <c r="C130" s="39"/>
      <c r="D130" s="39"/>
      <c r="E130" s="39"/>
      <c r="F130" s="103" t="s">
        <v>268</v>
      </c>
      <c r="G130" s="103" t="s">
        <v>472</v>
      </c>
      <c r="H130" s="126"/>
      <c r="I130" s="127"/>
      <c r="J130" s="127">
        <f t="shared" si="1"/>
        <v>2114.3055729111911</v>
      </c>
      <c r="K130" s="127">
        <f t="shared" si="1"/>
        <v>2830.0229223710344</v>
      </c>
      <c r="L130" s="127">
        <f t="shared" si="1"/>
        <v>1092.2941062614718</v>
      </c>
      <c r="M130" s="127">
        <f t="shared" si="1"/>
        <v>2293.6701591796796</v>
      </c>
      <c r="N130" s="127">
        <f t="shared" si="1"/>
        <v>4462.4780391758613</v>
      </c>
      <c r="O130" s="65"/>
      <c r="P130" s="39"/>
    </row>
    <row r="131" spans="1:16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65"/>
      <c r="P131" s="39"/>
    </row>
    <row r="132" spans="1:16" x14ac:dyDescent="0.25">
      <c r="A132" s="101"/>
      <c r="B132" s="39"/>
      <c r="C132" s="39"/>
      <c r="D132" s="39"/>
      <c r="E132" s="98" t="s">
        <v>473</v>
      </c>
      <c r="F132" s="39"/>
      <c r="G132" s="39"/>
      <c r="H132" s="65"/>
      <c r="I132" s="112" t="s">
        <v>314</v>
      </c>
      <c r="J132" s="65"/>
      <c r="K132" s="65"/>
      <c r="L132" s="65"/>
      <c r="M132" s="65"/>
      <c r="N132" s="65"/>
      <c r="O132" s="65"/>
      <c r="P132" s="101" t="s">
        <v>583</v>
      </c>
    </row>
    <row r="133" spans="1:16" x14ac:dyDescent="0.25">
      <c r="A133" s="39"/>
      <c r="B133" s="39"/>
      <c r="C133" s="39"/>
      <c r="D133" s="39"/>
      <c r="E133" s="39"/>
      <c r="F133" s="99" t="s">
        <v>267</v>
      </c>
      <c r="G133" s="99" t="s">
        <v>472</v>
      </c>
      <c r="H133" s="125">
        <f>SUM(J129:N129)</f>
        <v>12686.518451285843</v>
      </c>
      <c r="I133" s="110"/>
      <c r="J133" s="110"/>
      <c r="K133" s="110"/>
      <c r="L133" s="110"/>
      <c r="M133" s="110"/>
      <c r="N133" s="110"/>
      <c r="O133" s="65"/>
      <c r="P133" s="39"/>
    </row>
    <row r="134" spans="1:16" x14ac:dyDescent="0.25">
      <c r="A134" s="39"/>
      <c r="B134" s="39"/>
      <c r="C134" s="39"/>
      <c r="D134" s="39"/>
      <c r="E134" s="39"/>
      <c r="F134" s="103" t="s">
        <v>268</v>
      </c>
      <c r="G134" s="103" t="s">
        <v>472</v>
      </c>
      <c r="H134" s="126">
        <f>SUM(J130:N130)</f>
        <v>12792.770799899237</v>
      </c>
      <c r="I134" s="110"/>
      <c r="J134" s="110"/>
      <c r="K134" s="110"/>
      <c r="L134" s="110"/>
      <c r="M134" s="110"/>
      <c r="N134" s="110"/>
      <c r="O134" s="65"/>
      <c r="P134" s="39"/>
    </row>
    <row r="135" spans="1:16" x14ac:dyDescent="0.25">
      <c r="A135" s="39"/>
      <c r="B135" s="39"/>
      <c r="C135" s="39"/>
      <c r="D135" s="39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39"/>
    </row>
    <row r="136" spans="1:16" x14ac:dyDescent="0.25">
      <c r="A136" s="101"/>
      <c r="B136" s="39"/>
      <c r="C136" s="39"/>
      <c r="D136" s="39"/>
      <c r="E136" s="101" t="s">
        <v>261</v>
      </c>
      <c r="G136" s="101" t="s">
        <v>472</v>
      </c>
      <c r="H136" s="110">
        <f>IF(N120, H64 / N118, 0)</f>
        <v>573.55929188098617</v>
      </c>
      <c r="I136" s="123" t="s">
        <v>314</v>
      </c>
      <c r="J136" s="110"/>
      <c r="K136" s="110"/>
      <c r="L136" s="110"/>
      <c r="M136" s="110"/>
      <c r="N136" s="110"/>
      <c r="O136" s="65"/>
      <c r="P136" s="101" t="s">
        <v>582</v>
      </c>
    </row>
    <row r="137" spans="1:16" x14ac:dyDescent="0.25">
      <c r="A137" s="39"/>
      <c r="B137" s="39"/>
      <c r="C137" s="39"/>
      <c r="D137" s="39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39"/>
    </row>
    <row r="138" spans="1:16" x14ac:dyDescent="0.25">
      <c r="A138" s="39"/>
      <c r="B138" s="39"/>
      <c r="C138" s="39"/>
      <c r="D138" s="39"/>
      <c r="E138" s="98" t="s">
        <v>531</v>
      </c>
      <c r="F138" s="39"/>
      <c r="G138" s="39"/>
      <c r="H138" s="65"/>
      <c r="I138" s="65"/>
      <c r="J138" s="65"/>
      <c r="K138" s="65"/>
      <c r="L138" s="65"/>
      <c r="M138" s="65"/>
      <c r="N138" s="65"/>
      <c r="O138" s="65"/>
      <c r="P138" s="39"/>
    </row>
    <row r="139" spans="1:16" x14ac:dyDescent="0.25">
      <c r="A139" s="39"/>
      <c r="B139" s="39"/>
      <c r="C139" s="39"/>
      <c r="D139" s="39"/>
      <c r="E139" s="39"/>
      <c r="F139" s="99" t="s">
        <v>267</v>
      </c>
      <c r="G139" s="99" t="s">
        <v>470</v>
      </c>
      <c r="H139" s="125" t="b">
        <f>H133 + H$136 &gt; 0</f>
        <v>1</v>
      </c>
      <c r="I139" s="110"/>
      <c r="J139" s="110"/>
      <c r="K139" s="110"/>
      <c r="L139" s="110"/>
      <c r="M139" s="110"/>
      <c r="N139" s="110"/>
      <c r="O139" s="65"/>
      <c r="P139" s="39"/>
    </row>
    <row r="140" spans="1:16" x14ac:dyDescent="0.25">
      <c r="A140" s="39"/>
      <c r="B140" s="39"/>
      <c r="C140" s="39"/>
      <c r="D140" s="39"/>
      <c r="E140" s="39"/>
      <c r="F140" s="103" t="s">
        <v>268</v>
      </c>
      <c r="G140" s="103" t="s">
        <v>470</v>
      </c>
      <c r="H140" s="126" t="b">
        <f>H134 + H$136 &gt; 0</f>
        <v>1</v>
      </c>
      <c r="I140" s="110"/>
      <c r="J140" s="110"/>
      <c r="K140" s="110"/>
      <c r="L140" s="110"/>
      <c r="M140" s="110"/>
      <c r="N140" s="110"/>
      <c r="O140" s="65"/>
      <c r="P140" s="39"/>
    </row>
    <row r="141" spans="1:16" x14ac:dyDescent="0.25">
      <c r="A141" s="39"/>
      <c r="B141" s="39"/>
      <c r="C141" s="39"/>
      <c r="D141" s="39"/>
      <c r="E141" s="39"/>
      <c r="F141" s="39"/>
      <c r="G141" s="39"/>
      <c r="H141" s="65"/>
      <c r="I141" s="65"/>
      <c r="J141" s="65"/>
      <c r="K141" s="65"/>
      <c r="L141" s="65"/>
      <c r="M141" s="65"/>
      <c r="N141" s="65"/>
      <c r="O141" s="65"/>
      <c r="P141" s="39"/>
    </row>
    <row r="142" spans="1:16" x14ac:dyDescent="0.25">
      <c r="A142" s="39"/>
      <c r="B142" s="39"/>
      <c r="C142" s="96" t="s">
        <v>644</v>
      </c>
      <c r="D142" s="96"/>
      <c r="E142" s="96"/>
      <c r="F142" s="96"/>
      <c r="G142" s="96"/>
      <c r="H142" s="97"/>
      <c r="I142" s="97"/>
      <c r="J142" s="97"/>
      <c r="K142" s="97"/>
      <c r="L142" s="97"/>
      <c r="M142" s="97"/>
      <c r="N142" s="97"/>
      <c r="O142" s="97"/>
      <c r="P142" s="96"/>
    </row>
    <row r="143" spans="1:16" x14ac:dyDescent="0.25">
      <c r="A143" s="39"/>
      <c r="B143" s="39"/>
      <c r="C143" s="95"/>
      <c r="D143" s="95"/>
      <c r="E143" s="39"/>
      <c r="F143" s="39"/>
      <c r="G143" s="39"/>
      <c r="H143" s="65"/>
      <c r="I143" s="65"/>
      <c r="J143" s="65"/>
      <c r="K143" s="65"/>
      <c r="L143" s="65"/>
      <c r="M143" s="65"/>
      <c r="N143" s="65"/>
      <c r="O143" s="65"/>
      <c r="P143" s="39"/>
    </row>
    <row r="144" spans="1:16" x14ac:dyDescent="0.25">
      <c r="A144" s="101"/>
      <c r="B144" s="39"/>
      <c r="C144" s="39"/>
      <c r="D144" s="95"/>
      <c r="E144" s="98" t="s">
        <v>409</v>
      </c>
      <c r="F144" s="39"/>
      <c r="G144" s="39"/>
      <c r="H144" s="65"/>
      <c r="I144" s="112" t="s">
        <v>314</v>
      </c>
      <c r="J144" s="65"/>
      <c r="K144" s="65"/>
      <c r="L144" s="65"/>
      <c r="M144" s="65"/>
      <c r="N144" s="65"/>
      <c r="O144" s="65"/>
      <c r="P144" s="101" t="s">
        <v>583</v>
      </c>
    </row>
    <row r="145" spans="1:16" x14ac:dyDescent="0.25">
      <c r="A145" s="39"/>
      <c r="B145" s="39"/>
      <c r="C145" s="39"/>
      <c r="D145" s="39"/>
      <c r="E145" s="39"/>
      <c r="F145" s="99" t="s">
        <v>267</v>
      </c>
      <c r="G145" s="99" t="s">
        <v>44</v>
      </c>
      <c r="H145" s="129"/>
      <c r="I145" s="129"/>
      <c r="J145" s="157">
        <f t="shared" ref="J145:N146" si="2">IF(J$120, J129 / ($H133 + $H$136), 0)</f>
        <v>0.1543273059222183</v>
      </c>
      <c r="K145" s="157">
        <f t="shared" si="2"/>
        <v>0.20088098246032882</v>
      </c>
      <c r="L145" s="157">
        <f t="shared" si="2"/>
        <v>7.8100692632656371E-2</v>
      </c>
      <c r="M145" s="157">
        <f t="shared" si="2"/>
        <v>0.16207344070044638</v>
      </c>
      <c r="N145" s="157">
        <f t="shared" si="2"/>
        <v>0.3613629833272014</v>
      </c>
      <c r="O145" s="65"/>
      <c r="P145" s="39"/>
    </row>
    <row r="146" spans="1:16" x14ac:dyDescent="0.25">
      <c r="A146" s="39"/>
      <c r="B146" s="39"/>
      <c r="C146" s="39"/>
      <c r="D146" s="39"/>
      <c r="E146" s="39"/>
      <c r="F146" s="103" t="s">
        <v>268</v>
      </c>
      <c r="G146" s="103" t="s">
        <v>44</v>
      </c>
      <c r="H146" s="130"/>
      <c r="I146" s="131"/>
      <c r="J146" s="167">
        <f t="shared" si="2"/>
        <v>0.15818145731799693</v>
      </c>
      <c r="K146" s="167">
        <f t="shared" si="2"/>
        <v>0.21172774448473253</v>
      </c>
      <c r="L146" s="167">
        <f t="shared" si="2"/>
        <v>8.171982127937949E-2</v>
      </c>
      <c r="M146" s="167">
        <f t="shared" si="2"/>
        <v>0.17160059219173393</v>
      </c>
      <c r="N146" s="168">
        <f t="shared" si="2"/>
        <v>0.33385963151696463</v>
      </c>
      <c r="O146" s="65"/>
      <c r="P146" s="39"/>
    </row>
    <row r="147" spans="1:16" x14ac:dyDescent="0.25">
      <c r="A147" s="39"/>
      <c r="B147" s="39"/>
      <c r="C147" s="39"/>
      <c r="D147" s="39"/>
      <c r="E147" s="39"/>
      <c r="F147" s="39"/>
      <c r="G147" s="39"/>
      <c r="H147" s="65"/>
      <c r="I147" s="65"/>
      <c r="J147" s="65"/>
      <c r="K147" s="65"/>
      <c r="L147" s="65"/>
      <c r="M147" s="65"/>
      <c r="N147" s="65"/>
      <c r="O147" s="65"/>
      <c r="P147" s="39"/>
    </row>
    <row r="148" spans="1:16" x14ac:dyDescent="0.25">
      <c r="A148" s="39"/>
      <c r="B148" s="39"/>
      <c r="C148" s="39"/>
      <c r="D148" s="39"/>
      <c r="E148" s="98" t="s">
        <v>411</v>
      </c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39"/>
    </row>
    <row r="149" spans="1:16" x14ac:dyDescent="0.25">
      <c r="A149" s="39"/>
      <c r="B149" s="39"/>
      <c r="C149" s="39"/>
      <c r="D149" s="39"/>
      <c r="E149" s="39"/>
      <c r="F149" s="169" t="s">
        <v>267</v>
      </c>
      <c r="G149" s="169" t="s">
        <v>44</v>
      </c>
      <c r="H149" s="170">
        <f>IF(H139, H$136 / (H133 + H$136), 0)</f>
        <v>4.3254594957148895E-2</v>
      </c>
      <c r="I149" s="171" t="s">
        <v>314</v>
      </c>
      <c r="J149" s="115"/>
      <c r="K149" s="115"/>
      <c r="L149" s="115"/>
      <c r="M149" s="115"/>
      <c r="N149" s="115"/>
      <c r="O149" s="65"/>
      <c r="P149" s="107" t="s">
        <v>566</v>
      </c>
    </row>
    <row r="150" spans="1:16" x14ac:dyDescent="0.25">
      <c r="A150" s="39"/>
      <c r="B150" s="39"/>
      <c r="C150" s="39"/>
      <c r="D150" s="39"/>
      <c r="E150" s="39"/>
      <c r="F150" s="103" t="s">
        <v>268</v>
      </c>
      <c r="G150" s="103" t="s">
        <v>44</v>
      </c>
      <c r="H150" s="172">
        <f>IF(H140, H$136 / (H134 + H$136), 0)</f>
        <v>4.2910753209192624E-2</v>
      </c>
      <c r="I150" s="115"/>
      <c r="J150" s="115"/>
      <c r="K150" s="115"/>
      <c r="L150" s="115"/>
      <c r="M150" s="115"/>
      <c r="N150" s="115"/>
      <c r="O150" s="65"/>
      <c r="P150" s="39"/>
    </row>
    <row r="151" spans="1:16" x14ac:dyDescent="0.25">
      <c r="A151" s="39"/>
      <c r="B151" s="39"/>
      <c r="C151" s="39"/>
      <c r="D151" s="39"/>
      <c r="E151" s="39"/>
      <c r="F151" s="39"/>
      <c r="G151" s="39"/>
      <c r="H151" s="65"/>
      <c r="I151" s="65"/>
      <c r="J151" s="65"/>
      <c r="K151" s="65"/>
      <c r="L151" s="65"/>
      <c r="M151" s="65"/>
      <c r="N151" s="65"/>
      <c r="O151" s="65"/>
      <c r="P151" s="39"/>
    </row>
    <row r="152" spans="1:16" x14ac:dyDescent="0.25">
      <c r="A152" s="39"/>
      <c r="B152" s="39"/>
      <c r="C152" s="39"/>
      <c r="D152" s="39"/>
      <c r="E152" s="98" t="s">
        <v>239</v>
      </c>
      <c r="F152" s="39"/>
      <c r="G152" s="39"/>
      <c r="H152" s="65"/>
      <c r="I152" s="65"/>
      <c r="J152" s="65"/>
      <c r="K152" s="65"/>
      <c r="L152" s="65"/>
      <c r="M152" s="65"/>
      <c r="N152" s="65"/>
      <c r="O152" s="65"/>
      <c r="P152" s="39"/>
    </row>
    <row r="153" spans="1:16" x14ac:dyDescent="0.25">
      <c r="A153" s="39"/>
      <c r="B153" s="39"/>
      <c r="C153" s="39"/>
      <c r="D153" s="39"/>
      <c r="E153" s="101"/>
      <c r="F153" s="99" t="s">
        <v>267</v>
      </c>
      <c r="G153" s="99" t="s">
        <v>231</v>
      </c>
      <c r="H153" s="197">
        <f>IF(H149 + SUM(J145:N145) = 1, 0, 1)</f>
        <v>0</v>
      </c>
      <c r="I153" s="115"/>
      <c r="J153" s="115"/>
      <c r="K153" s="115"/>
      <c r="L153" s="115"/>
      <c r="M153" s="115"/>
      <c r="N153" s="115"/>
      <c r="O153" s="65"/>
      <c r="P153" s="39"/>
    </row>
    <row r="154" spans="1:16" x14ac:dyDescent="0.25">
      <c r="A154" s="39"/>
      <c r="B154" s="39"/>
      <c r="C154" s="39"/>
      <c r="D154" s="39"/>
      <c r="E154" s="101"/>
      <c r="F154" s="103" t="s">
        <v>268</v>
      </c>
      <c r="G154" s="103" t="s">
        <v>231</v>
      </c>
      <c r="H154" s="198">
        <f>IF(H150 + SUM(J146:N146) = 1, 0, 1)</f>
        <v>0</v>
      </c>
      <c r="I154" s="115"/>
      <c r="J154" s="115"/>
      <c r="K154" s="115"/>
      <c r="L154" s="115"/>
      <c r="M154" s="115"/>
      <c r="N154" s="115"/>
      <c r="O154" s="65"/>
      <c r="P154" s="39"/>
    </row>
    <row r="155" spans="1:16" x14ac:dyDescent="0.25">
      <c r="A155" s="39"/>
      <c r="B155" s="39"/>
      <c r="C155" s="39"/>
      <c r="D155" s="39"/>
      <c r="E155" s="95"/>
      <c r="F155" s="39"/>
      <c r="G155" s="39"/>
      <c r="H155" s="65"/>
      <c r="I155" s="65"/>
      <c r="J155" s="65"/>
      <c r="K155" s="65"/>
      <c r="L155" s="65"/>
      <c r="M155" s="65"/>
      <c r="N155" s="65"/>
      <c r="O155" s="65"/>
      <c r="P155" s="39"/>
    </row>
    <row r="156" spans="1:16" x14ac:dyDescent="0.25">
      <c r="A156" s="39"/>
      <c r="B156" s="39"/>
      <c r="C156" s="96" t="s">
        <v>645</v>
      </c>
      <c r="D156" s="96"/>
      <c r="E156" s="96"/>
      <c r="F156" s="96"/>
      <c r="G156" s="96"/>
      <c r="H156" s="97"/>
      <c r="I156" s="97"/>
      <c r="J156" s="97"/>
      <c r="K156" s="97"/>
      <c r="L156" s="97"/>
      <c r="M156" s="97"/>
      <c r="N156" s="97"/>
      <c r="O156" s="97"/>
      <c r="P156" s="96"/>
    </row>
    <row r="157" spans="1:16" x14ac:dyDescent="0.25">
      <c r="A157" s="39"/>
      <c r="B157" s="39"/>
      <c r="C157" s="95"/>
      <c r="D157" s="95"/>
      <c r="E157" s="95"/>
      <c r="F157" s="39"/>
      <c r="G157" s="39"/>
      <c r="H157" s="65"/>
      <c r="I157" s="65"/>
      <c r="J157" s="65"/>
      <c r="K157" s="65"/>
      <c r="L157" s="65"/>
      <c r="M157" s="65"/>
      <c r="N157" s="65"/>
      <c r="O157" s="65"/>
      <c r="P157" s="39"/>
    </row>
    <row r="158" spans="1:16" x14ac:dyDescent="0.25">
      <c r="A158" s="39"/>
      <c r="B158" s="39"/>
      <c r="C158" s="39"/>
      <c r="D158" s="39"/>
      <c r="E158" s="101" t="s">
        <v>257</v>
      </c>
      <c r="F158" s="173"/>
      <c r="G158" s="101" t="s">
        <v>44</v>
      </c>
      <c r="H158" s="134">
        <f>H149</f>
        <v>4.3254594957148895E-2</v>
      </c>
      <c r="I158" s="171" t="s">
        <v>314</v>
      </c>
      <c r="J158" s="115"/>
      <c r="K158" s="115"/>
      <c r="L158" s="115"/>
      <c r="M158" s="115"/>
      <c r="N158" s="115"/>
      <c r="O158" s="65"/>
      <c r="P158" s="107" t="s">
        <v>566</v>
      </c>
    </row>
    <row r="159" spans="1:16" x14ac:dyDescent="0.25">
      <c r="A159" s="39"/>
      <c r="B159" s="39"/>
      <c r="C159" s="39"/>
      <c r="D159" s="39"/>
      <c r="E159" s="95"/>
      <c r="F159" s="39"/>
      <c r="G159" s="39"/>
      <c r="H159" s="65"/>
      <c r="I159" s="65"/>
      <c r="J159" s="65"/>
      <c r="K159" s="65"/>
      <c r="L159" s="65"/>
      <c r="M159" s="65"/>
      <c r="N159" s="65"/>
      <c r="O159" s="65"/>
      <c r="P159" s="39"/>
    </row>
    <row r="160" spans="1:16" x14ac:dyDescent="0.25">
      <c r="A160" s="39"/>
      <c r="B160" s="39"/>
      <c r="C160" s="96" t="s">
        <v>646</v>
      </c>
      <c r="D160" s="96"/>
      <c r="E160" s="96"/>
      <c r="F160" s="96"/>
      <c r="G160" s="96"/>
      <c r="H160" s="97"/>
      <c r="I160" s="97"/>
      <c r="J160" s="97"/>
      <c r="K160" s="97"/>
      <c r="L160" s="97"/>
      <c r="M160" s="97"/>
      <c r="N160" s="97"/>
      <c r="O160" s="97"/>
      <c r="P160" s="96"/>
    </row>
    <row r="161" spans="1:16" x14ac:dyDescent="0.25">
      <c r="A161" s="39"/>
      <c r="B161" s="39"/>
      <c r="C161" s="95"/>
      <c r="D161" s="95"/>
      <c r="E161" s="39"/>
      <c r="F161" s="39"/>
      <c r="G161" s="39"/>
      <c r="H161" s="65"/>
      <c r="I161" s="65"/>
      <c r="J161" s="65"/>
      <c r="K161" s="65"/>
      <c r="L161" s="65"/>
      <c r="M161" s="65"/>
      <c r="N161" s="65"/>
      <c r="O161" s="65"/>
      <c r="P161" s="39"/>
    </row>
    <row r="162" spans="1:16" x14ac:dyDescent="0.25">
      <c r="A162" s="39"/>
      <c r="B162" s="39"/>
      <c r="C162" s="39"/>
      <c r="D162" s="95"/>
      <c r="E162" s="98" t="str">
        <f>MEAV!E91</f>
        <v>Share of EHV and 132kV MEAV, by network level</v>
      </c>
      <c r="F162" s="39"/>
      <c r="G162" s="39"/>
      <c r="H162" s="65"/>
      <c r="I162" s="65"/>
      <c r="J162" s="65"/>
      <c r="K162" s="65"/>
      <c r="L162" s="65"/>
      <c r="M162" s="65"/>
      <c r="N162" s="65"/>
      <c r="O162" s="65"/>
      <c r="P162" s="39"/>
    </row>
    <row r="163" spans="1:16" x14ac:dyDescent="0.25">
      <c r="A163" s="39"/>
      <c r="B163" s="39"/>
      <c r="C163" s="39"/>
      <c r="D163" s="39"/>
      <c r="E163" s="39"/>
      <c r="F163" s="99" t="str">
        <f>MEAV!F92</f>
        <v>EHV/HV</v>
      </c>
      <c r="G163" s="99" t="str">
        <f>MEAV!G92</f>
        <v>%</v>
      </c>
      <c r="H163" s="149">
        <f>MEAV!H92</f>
        <v>0.19857147804650016</v>
      </c>
      <c r="I163" s="115"/>
      <c r="J163" s="115"/>
      <c r="K163" s="115"/>
      <c r="L163" s="115"/>
      <c r="M163" s="115"/>
      <c r="N163" s="115"/>
      <c r="O163" s="65"/>
      <c r="P163" s="39"/>
    </row>
    <row r="164" spans="1:16" x14ac:dyDescent="0.25">
      <c r="A164" s="39"/>
      <c r="B164" s="39"/>
      <c r="C164" s="39"/>
      <c r="D164" s="39"/>
      <c r="E164" s="39"/>
      <c r="F164" s="101" t="str">
        <f>MEAV!F93</f>
        <v>EHV</v>
      </c>
      <c r="G164" s="101" t="str">
        <f>MEAV!G93</f>
        <v>%</v>
      </c>
      <c r="H164" s="146">
        <f>MEAV!H93</f>
        <v>5.3964108331783299E-2</v>
      </c>
      <c r="I164" s="115"/>
      <c r="J164" s="115"/>
      <c r="K164" s="115"/>
      <c r="L164" s="115"/>
      <c r="M164" s="115"/>
      <c r="N164" s="115"/>
      <c r="O164" s="65"/>
      <c r="P164" s="39"/>
    </row>
    <row r="165" spans="1:16" x14ac:dyDescent="0.25">
      <c r="A165" s="39"/>
      <c r="B165" s="39"/>
      <c r="C165" s="39"/>
      <c r="D165" s="39"/>
      <c r="E165" s="39"/>
      <c r="F165" s="101" t="str">
        <f>MEAV!F94</f>
        <v>132kV/EHV</v>
      </c>
      <c r="G165" s="101" t="str">
        <f>MEAV!G94</f>
        <v>%</v>
      </c>
      <c r="H165" s="146">
        <f>MEAV!H94</f>
        <v>0.10347644062409317</v>
      </c>
      <c r="I165" s="115"/>
      <c r="J165" s="115"/>
      <c r="K165" s="115"/>
      <c r="L165" s="115"/>
      <c r="M165" s="115"/>
      <c r="N165" s="115"/>
      <c r="O165" s="65"/>
      <c r="P165" s="39"/>
    </row>
    <row r="166" spans="1:16" x14ac:dyDescent="0.25">
      <c r="A166" s="39"/>
      <c r="B166" s="39"/>
      <c r="C166" s="39"/>
      <c r="D166" s="39"/>
      <c r="E166" s="39"/>
      <c r="F166" s="103" t="str">
        <f>MEAV!F95</f>
        <v>132kV</v>
      </c>
      <c r="G166" s="103" t="str">
        <f>MEAV!G95</f>
        <v>%</v>
      </c>
      <c r="H166" s="150">
        <f>MEAV!H95</f>
        <v>0.64398797299762334</v>
      </c>
      <c r="I166" s="115"/>
      <c r="J166" s="115"/>
      <c r="K166" s="115"/>
      <c r="L166" s="115"/>
      <c r="M166" s="115"/>
      <c r="N166" s="115"/>
      <c r="O166" s="65"/>
      <c r="P166" s="39"/>
    </row>
    <row r="167" spans="1:16" x14ac:dyDescent="0.25">
      <c r="A167" s="39"/>
      <c r="B167" s="39"/>
      <c r="C167" s="39"/>
      <c r="D167" s="39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65"/>
      <c r="P167" s="39"/>
    </row>
    <row r="168" spans="1:16" x14ac:dyDescent="0.25">
      <c r="A168" s="39"/>
      <c r="B168" s="39"/>
      <c r="C168" s="39"/>
      <c r="D168" s="39"/>
      <c r="E168" s="98" t="s">
        <v>349</v>
      </c>
      <c r="F168" s="39"/>
      <c r="G168" s="39"/>
      <c r="H168" s="65"/>
      <c r="I168" s="65"/>
      <c r="J168" s="65"/>
      <c r="K168" s="65"/>
      <c r="L168" s="65"/>
      <c r="M168" s="65"/>
      <c r="N168" s="65"/>
      <c r="O168" s="65"/>
      <c r="P168" s="39"/>
    </row>
    <row r="169" spans="1:16" x14ac:dyDescent="0.25">
      <c r="A169" s="39"/>
      <c r="B169" s="39"/>
      <c r="C169" s="39"/>
      <c r="D169" s="39"/>
      <c r="E169" s="39"/>
      <c r="F169" s="99" t="s">
        <v>165</v>
      </c>
      <c r="G169" s="99" t="s">
        <v>44</v>
      </c>
      <c r="H169" s="157">
        <f>J145 + K145</f>
        <v>0.35520828838254714</v>
      </c>
      <c r="I169" s="115"/>
      <c r="J169" s="115"/>
      <c r="K169" s="115"/>
      <c r="L169" s="115"/>
      <c r="M169" s="115"/>
      <c r="N169" s="115"/>
      <c r="O169" s="65"/>
      <c r="P169" s="39"/>
    </row>
    <row r="170" spans="1:16" x14ac:dyDescent="0.25">
      <c r="A170" s="39"/>
      <c r="B170" s="39"/>
      <c r="C170" s="39"/>
      <c r="D170" s="39"/>
      <c r="E170" s="39"/>
      <c r="F170" s="101" t="s">
        <v>41</v>
      </c>
      <c r="G170" s="101" t="s">
        <v>44</v>
      </c>
      <c r="H170" s="183">
        <f>L145</f>
        <v>7.8100692632656371E-2</v>
      </c>
      <c r="I170" s="115"/>
      <c r="J170" s="115"/>
      <c r="K170" s="115"/>
      <c r="L170" s="115"/>
      <c r="M170" s="115"/>
      <c r="N170" s="115"/>
      <c r="O170" s="65"/>
      <c r="P170" s="39"/>
    </row>
    <row r="171" spans="1:16" x14ac:dyDescent="0.25">
      <c r="A171" s="39"/>
      <c r="B171" s="39"/>
      <c r="C171" s="39"/>
      <c r="D171" s="39"/>
      <c r="E171" s="39"/>
      <c r="F171" s="101" t="s">
        <v>40</v>
      </c>
      <c r="G171" s="101" t="s">
        <v>44</v>
      </c>
      <c r="H171" s="168">
        <f>M145</f>
        <v>0.16207344070044638</v>
      </c>
      <c r="I171" s="115"/>
      <c r="J171" s="115"/>
      <c r="K171" s="115"/>
      <c r="L171" s="115"/>
      <c r="M171" s="115"/>
      <c r="N171" s="115"/>
      <c r="O171" s="65"/>
      <c r="P171" s="39"/>
    </row>
    <row r="172" spans="1:16" x14ac:dyDescent="0.25">
      <c r="A172" s="101"/>
      <c r="B172" s="39"/>
      <c r="C172" s="39"/>
      <c r="D172" s="39"/>
      <c r="E172" s="39"/>
      <c r="F172" s="101" t="s">
        <v>38</v>
      </c>
      <c r="G172" s="101" t="s">
        <v>44</v>
      </c>
      <c r="H172" s="154">
        <f>N$145 * H163</f>
        <v>7.1756381710575176E-2</v>
      </c>
      <c r="I172" s="111" t="s">
        <v>314</v>
      </c>
      <c r="J172" s="115"/>
      <c r="K172" s="115"/>
      <c r="L172" s="115"/>
      <c r="M172" s="115"/>
      <c r="N172" s="115"/>
      <c r="O172" s="65"/>
      <c r="P172" s="101" t="s">
        <v>572</v>
      </c>
    </row>
    <row r="173" spans="1:16" x14ac:dyDescent="0.25">
      <c r="A173" s="101"/>
      <c r="B173" s="39"/>
      <c r="C173" s="39"/>
      <c r="D173" s="39"/>
      <c r="E173" s="39"/>
      <c r="F173" s="101" t="s">
        <v>37</v>
      </c>
      <c r="G173" s="101" t="s">
        <v>44</v>
      </c>
      <c r="H173" s="154">
        <f>N$145 * H164</f>
        <v>1.9500631179365499E-2</v>
      </c>
      <c r="I173" s="111" t="s">
        <v>314</v>
      </c>
      <c r="J173" s="115"/>
      <c r="K173" s="115"/>
      <c r="L173" s="115"/>
      <c r="M173" s="115"/>
      <c r="N173" s="115"/>
      <c r="O173" s="65"/>
      <c r="P173" s="101" t="s">
        <v>572</v>
      </c>
    </row>
    <row r="174" spans="1:16" x14ac:dyDescent="0.25">
      <c r="A174" s="101"/>
      <c r="B174" s="39"/>
      <c r="C174" s="39"/>
      <c r="D174" s="39"/>
      <c r="E174" s="39"/>
      <c r="F174" s="101" t="s">
        <v>36</v>
      </c>
      <c r="G174" s="101" t="s">
        <v>44</v>
      </c>
      <c r="H174" s="154">
        <f>N$145 * H165</f>
        <v>3.7392555288002324E-2</v>
      </c>
      <c r="I174" s="111" t="s">
        <v>314</v>
      </c>
      <c r="J174" s="115"/>
      <c r="K174" s="115"/>
      <c r="L174" s="115"/>
      <c r="M174" s="115"/>
      <c r="N174" s="115"/>
      <c r="O174" s="65"/>
      <c r="P174" s="101" t="s">
        <v>572</v>
      </c>
    </row>
    <row r="175" spans="1:16" x14ac:dyDescent="0.25">
      <c r="A175" s="101"/>
      <c r="B175" s="39"/>
      <c r="C175" s="39"/>
      <c r="D175" s="39"/>
      <c r="E175" s="39"/>
      <c r="F175" s="103" t="s">
        <v>35</v>
      </c>
      <c r="G175" s="103" t="s">
        <v>44</v>
      </c>
      <c r="H175" s="172">
        <f>N$145 * H166</f>
        <v>0.23271341514925839</v>
      </c>
      <c r="I175" s="111" t="s">
        <v>314</v>
      </c>
      <c r="J175" s="115"/>
      <c r="K175" s="115"/>
      <c r="L175" s="115"/>
      <c r="M175" s="115"/>
      <c r="N175" s="115"/>
      <c r="O175" s="65"/>
      <c r="P175" s="101" t="s">
        <v>572</v>
      </c>
    </row>
    <row r="176" spans="1:16" x14ac:dyDescent="0.25">
      <c r="A176" s="39"/>
      <c r="B176" s="39"/>
      <c r="C176" s="39"/>
      <c r="D176" s="39"/>
      <c r="E176" s="39"/>
      <c r="F176" s="39"/>
      <c r="G176" s="39"/>
      <c r="H176" s="65"/>
      <c r="I176" s="65"/>
      <c r="J176" s="65"/>
      <c r="K176" s="65"/>
      <c r="L176" s="65"/>
      <c r="M176" s="65"/>
      <c r="N176" s="65"/>
      <c r="O176" s="65"/>
      <c r="P176" s="39"/>
    </row>
    <row r="177" spans="1:16" x14ac:dyDescent="0.25">
      <c r="A177" s="39"/>
      <c r="B177" s="39"/>
      <c r="C177" s="39"/>
      <c r="D177" s="39"/>
      <c r="E177" s="98" t="s">
        <v>351</v>
      </c>
      <c r="F177" s="39"/>
      <c r="G177" s="39"/>
      <c r="H177" s="65"/>
      <c r="I177" s="65"/>
      <c r="J177" s="65"/>
      <c r="K177" s="65"/>
      <c r="L177" s="65"/>
      <c r="M177" s="65"/>
      <c r="N177" s="65"/>
      <c r="O177" s="65"/>
      <c r="P177" s="39"/>
    </row>
    <row r="178" spans="1:16" x14ac:dyDescent="0.25">
      <c r="A178" s="39"/>
      <c r="B178" s="39"/>
      <c r="C178" s="39"/>
      <c r="D178" s="39"/>
      <c r="E178" s="39"/>
      <c r="F178" s="99" t="s">
        <v>35</v>
      </c>
      <c r="G178" s="99" t="s">
        <v>44</v>
      </c>
      <c r="H178" s="133">
        <f>INDEX(H$169:H$175, MATCH(F178, F$169:F$175, 0), 0)</f>
        <v>0.23271341514925839</v>
      </c>
      <c r="I178" s="115"/>
      <c r="J178" s="115"/>
      <c r="K178" s="115"/>
      <c r="L178" s="115"/>
      <c r="M178" s="115"/>
      <c r="N178" s="115"/>
      <c r="O178" s="65"/>
      <c r="P178" s="39"/>
    </row>
    <row r="179" spans="1:16" x14ac:dyDescent="0.25">
      <c r="A179" s="39"/>
      <c r="B179" s="39"/>
      <c r="C179" s="39"/>
      <c r="D179" s="39"/>
      <c r="E179" s="39"/>
      <c r="F179" s="101" t="s">
        <v>36</v>
      </c>
      <c r="G179" s="101" t="s">
        <v>44</v>
      </c>
      <c r="H179" s="134">
        <f t="shared" ref="H179:H184" si="3">INDEX(H$169:H$175, MATCH(F179, F$169:F$175, 0), 0)</f>
        <v>3.7392555288002324E-2</v>
      </c>
      <c r="I179" s="115"/>
      <c r="J179" s="115"/>
      <c r="K179" s="115"/>
      <c r="L179" s="115"/>
      <c r="M179" s="115"/>
      <c r="N179" s="115"/>
      <c r="O179" s="65"/>
      <c r="P179" s="39"/>
    </row>
    <row r="180" spans="1:16" x14ac:dyDescent="0.25">
      <c r="A180" s="39"/>
      <c r="B180" s="39"/>
      <c r="C180" s="39"/>
      <c r="D180" s="39"/>
      <c r="E180" s="39"/>
      <c r="F180" s="101" t="s">
        <v>37</v>
      </c>
      <c r="G180" s="101" t="s">
        <v>44</v>
      </c>
      <c r="H180" s="134">
        <f t="shared" si="3"/>
        <v>1.9500631179365499E-2</v>
      </c>
      <c r="I180" s="115"/>
      <c r="J180" s="115"/>
      <c r="K180" s="115"/>
      <c r="L180" s="115"/>
      <c r="M180" s="115"/>
      <c r="N180" s="115"/>
      <c r="O180" s="65"/>
      <c r="P180" s="39"/>
    </row>
    <row r="181" spans="1:16" x14ac:dyDescent="0.25">
      <c r="A181" s="39"/>
      <c r="B181" s="39"/>
      <c r="C181" s="39"/>
      <c r="D181" s="39"/>
      <c r="E181" s="39"/>
      <c r="F181" s="101" t="s">
        <v>38</v>
      </c>
      <c r="G181" s="101" t="s">
        <v>44</v>
      </c>
      <c r="H181" s="134">
        <f t="shared" si="3"/>
        <v>7.1756381710575176E-2</v>
      </c>
      <c r="I181" s="115"/>
      <c r="J181" s="115"/>
      <c r="K181" s="115"/>
      <c r="L181" s="115"/>
      <c r="M181" s="115"/>
      <c r="N181" s="115"/>
      <c r="O181" s="65"/>
      <c r="P181" s="39"/>
    </row>
    <row r="182" spans="1:16" x14ac:dyDescent="0.25">
      <c r="A182" s="39"/>
      <c r="B182" s="39"/>
      <c r="C182" s="39"/>
      <c r="D182" s="39"/>
      <c r="E182" s="39"/>
      <c r="F182" s="101" t="s">
        <v>40</v>
      </c>
      <c r="G182" s="101" t="s">
        <v>44</v>
      </c>
      <c r="H182" s="134">
        <f t="shared" si="3"/>
        <v>0.16207344070044638</v>
      </c>
      <c r="I182" s="115"/>
      <c r="J182" s="115"/>
      <c r="K182" s="115"/>
      <c r="L182" s="115"/>
      <c r="M182" s="115"/>
      <c r="N182" s="115"/>
      <c r="O182" s="65"/>
      <c r="P182" s="39"/>
    </row>
    <row r="183" spans="1:16" x14ac:dyDescent="0.25">
      <c r="A183" s="39"/>
      <c r="B183" s="39"/>
      <c r="C183" s="39"/>
      <c r="D183" s="39"/>
      <c r="E183" s="39"/>
      <c r="F183" s="101" t="s">
        <v>41</v>
      </c>
      <c r="G183" s="101" t="s">
        <v>44</v>
      </c>
      <c r="H183" s="134">
        <f t="shared" si="3"/>
        <v>7.8100692632656371E-2</v>
      </c>
      <c r="I183" s="115"/>
      <c r="J183" s="115"/>
      <c r="K183" s="115"/>
      <c r="L183" s="115"/>
      <c r="M183" s="115"/>
      <c r="N183" s="115"/>
      <c r="O183" s="65"/>
      <c r="P183" s="39"/>
    </row>
    <row r="184" spans="1:16" x14ac:dyDescent="0.25">
      <c r="A184" s="39"/>
      <c r="B184" s="39"/>
      <c r="C184" s="39"/>
      <c r="D184" s="39"/>
      <c r="E184" s="39"/>
      <c r="F184" s="103" t="s">
        <v>165</v>
      </c>
      <c r="G184" s="103" t="s">
        <v>44</v>
      </c>
      <c r="H184" s="135">
        <f t="shared" si="3"/>
        <v>0.35520828838254714</v>
      </c>
      <c r="I184" s="115"/>
      <c r="J184" s="115"/>
      <c r="K184" s="115"/>
      <c r="L184" s="115"/>
      <c r="M184" s="115"/>
      <c r="N184" s="115"/>
      <c r="O184" s="65"/>
      <c r="P184" s="39"/>
    </row>
    <row r="185" spans="1:16" x14ac:dyDescent="0.25">
      <c r="A185" s="39"/>
      <c r="B185" s="39"/>
      <c r="C185" s="39"/>
      <c r="D185" s="39"/>
      <c r="E185" s="39"/>
      <c r="F185" s="39"/>
      <c r="G185" s="39"/>
      <c r="H185" s="65"/>
      <c r="I185" s="65"/>
      <c r="J185" s="65"/>
      <c r="K185" s="65"/>
      <c r="L185" s="65"/>
      <c r="M185" s="65"/>
      <c r="N185" s="65"/>
      <c r="O185" s="65"/>
      <c r="P185" s="39"/>
    </row>
    <row r="186" spans="1:16" x14ac:dyDescent="0.25">
      <c r="A186" s="39"/>
      <c r="B186" s="93" t="s">
        <v>242</v>
      </c>
      <c r="C186" s="93"/>
      <c r="D186" s="93"/>
      <c r="E186" s="93"/>
      <c r="F186" s="93"/>
      <c r="G186" s="93"/>
      <c r="H186" s="94"/>
      <c r="I186" s="94"/>
      <c r="J186" s="94"/>
      <c r="K186" s="94"/>
      <c r="L186" s="94"/>
      <c r="M186" s="94"/>
      <c r="N186" s="94"/>
      <c r="O186" s="94"/>
      <c r="P186" s="93"/>
    </row>
    <row r="187" spans="1:16" x14ac:dyDescent="0.25">
      <c r="A187" s="39"/>
      <c r="B187" s="39"/>
      <c r="C187" s="39"/>
      <c r="D187" s="39"/>
      <c r="E187" s="39"/>
      <c r="F187" s="39"/>
      <c r="G187" s="39"/>
      <c r="H187" s="65"/>
      <c r="I187" s="65"/>
      <c r="J187" s="65"/>
      <c r="K187" s="65"/>
      <c r="L187" s="65"/>
      <c r="M187" s="65"/>
      <c r="N187" s="65"/>
      <c r="O187" s="65"/>
      <c r="P187" s="39"/>
    </row>
    <row r="188" spans="1:16" x14ac:dyDescent="0.25">
      <c r="A188" s="39"/>
      <c r="B188" s="39"/>
      <c r="C188" s="95"/>
      <c r="D188" s="95"/>
      <c r="E188" s="101" t="s">
        <v>262</v>
      </c>
      <c r="F188" s="39"/>
      <c r="G188" s="101" t="s">
        <v>231</v>
      </c>
      <c r="H188" s="174">
        <f>H39 + H49 + H153 + H154</f>
        <v>0</v>
      </c>
      <c r="I188" s="116"/>
      <c r="J188" s="116"/>
      <c r="K188" s="116"/>
      <c r="L188" s="116"/>
      <c r="M188" s="116"/>
      <c r="N188" s="116"/>
      <c r="O188" s="65"/>
      <c r="P188" s="39"/>
    </row>
    <row r="189" spans="1:16" x14ac:dyDescent="0.25">
      <c r="A189" s="39"/>
      <c r="B189" s="39"/>
      <c r="C189" s="39"/>
      <c r="D189" s="39"/>
      <c r="E189" s="95"/>
      <c r="F189" s="39"/>
      <c r="G189" s="39"/>
      <c r="H189" s="65"/>
      <c r="I189" s="65"/>
      <c r="J189" s="65"/>
      <c r="K189" s="65"/>
      <c r="L189" s="65"/>
      <c r="M189" s="65"/>
      <c r="N189" s="65"/>
      <c r="O189" s="65"/>
      <c r="P189" s="39"/>
    </row>
    <row r="190" spans="1:16" x14ac:dyDescent="0.25">
      <c r="A190" s="39"/>
      <c r="B190" s="93" t="s">
        <v>30</v>
      </c>
      <c r="C190" s="93"/>
      <c r="D190" s="93"/>
      <c r="E190" s="93"/>
      <c r="F190" s="93"/>
      <c r="G190" s="93"/>
      <c r="H190" s="94"/>
      <c r="I190" s="94"/>
      <c r="J190" s="94"/>
      <c r="K190" s="94"/>
      <c r="L190" s="94"/>
      <c r="M190" s="94"/>
      <c r="N190" s="94"/>
      <c r="O190" s="94"/>
      <c r="P190" s="93"/>
    </row>
  </sheetData>
  <sheetProtection sheet="1" objects="1" formatCells="0" formatColumns="0" formatRows="0" sort="0" autoFilter="0"/>
  <conditionalFormatting sqref="H39">
    <cfRule type="cellIs" dxfId="15" priority="2" stopIfTrue="1" operator="greaterThan">
      <formula>0</formula>
    </cfRule>
  </conditionalFormatting>
  <conditionalFormatting sqref="H49">
    <cfRule type="cellIs" dxfId="14" priority="3" stopIfTrue="1" operator="greaterThan">
      <formula>0</formula>
    </cfRule>
  </conditionalFormatting>
  <conditionalFormatting sqref="H188">
    <cfRule type="cellIs" dxfId="13" priority="4" stopIfTrue="1" operator="greaterThan">
      <formula>0</formula>
    </cfRule>
  </conditionalFormatting>
  <conditionalFormatting sqref="A4:XFD4">
    <cfRule type="expression" dxfId="1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Direct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H62 &amp; IF(H62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187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496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497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720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292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453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647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">
        <v>332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Expenditure!F145</f>
        <v>EHV and 132kV (EDCM)</v>
      </c>
      <c r="G21" s="99" t="str">
        <f>Expenditure!G145</f>
        <v>£ per year</v>
      </c>
      <c r="H21" s="125"/>
      <c r="I21" s="125"/>
      <c r="J21" s="136">
        <f>Expenditure!J145</f>
        <v>10180000</v>
      </c>
      <c r="K21" s="136">
        <f>Expenditure!K145</f>
        <v>35472210.487194926</v>
      </c>
      <c r="L21" s="136">
        <f>Expenditure!L145</f>
        <v>863139.78799552319</v>
      </c>
      <c r="M21" s="136">
        <f>Expenditure!M145</f>
        <v>2623947.7688073181</v>
      </c>
      <c r="N21" s="136">
        <f>Expenditure!N145</f>
        <v>3350477.2222617008</v>
      </c>
      <c r="O21" s="136">
        <f>Expenditure!O145</f>
        <v>-972253.4377083861</v>
      </c>
      <c r="P21" s="136">
        <f>Expenditure!P145</f>
        <v>292035.89190497209</v>
      </c>
      <c r="Q21" s="136">
        <f>Expenditure!Q145</f>
        <v>2119443.7911061868</v>
      </c>
      <c r="R21" s="136">
        <f>Expenditure!R145</f>
        <v>1581511.2920997129</v>
      </c>
      <c r="S21" s="136">
        <f>Expenditure!S145</f>
        <v>8816156.0100786686</v>
      </c>
      <c r="T21" s="136">
        <f>Expenditure!T145</f>
        <v>1504998.5827917978</v>
      </c>
      <c r="U21" s="136">
        <f>Expenditure!U145</f>
        <v>694633.14381404966</v>
      </c>
      <c r="V21" s="136">
        <f>Expenditure!V145</f>
        <v>542518.02238827199</v>
      </c>
      <c r="W21" s="136">
        <f>Expenditure!W145</f>
        <v>513723.48010537733</v>
      </c>
      <c r="X21" s="136">
        <f>Expenditure!X145</f>
        <v>2050228.7382603094</v>
      </c>
      <c r="Y21" s="136">
        <f>Expenditure!Y145</f>
        <v>0</v>
      </c>
      <c r="Z21" s="136">
        <f>Expenditure!Z145</f>
        <v>0</v>
      </c>
      <c r="AA21" s="136">
        <f>Expenditure!AA145</f>
        <v>517325.09844822384</v>
      </c>
      <c r="AB21" s="136">
        <f>Expenditure!AB145</f>
        <v>739244.22963049496</v>
      </c>
      <c r="AC21" s="136">
        <f>Expenditure!AC145</f>
        <v>2932789.2145560593</v>
      </c>
      <c r="AD21" s="136">
        <f>Expenditure!AD145</f>
        <v>579178.1539660549</v>
      </c>
      <c r="AE21" s="136">
        <f>Expenditure!AE145</f>
        <v>0</v>
      </c>
      <c r="AF21" s="136">
        <f>Expenditure!AF145</f>
        <v>0</v>
      </c>
      <c r="AG21" s="136">
        <f>Expenditure!AG145</f>
        <v>0</v>
      </c>
      <c r="AH21" s="136">
        <f>Expenditure!AH145</f>
        <v>0</v>
      </c>
      <c r="AI21" s="136">
        <f>Expenditure!AI145</f>
        <v>0</v>
      </c>
      <c r="AJ21" s="136">
        <f>Expenditure!AJ145</f>
        <v>0</v>
      </c>
      <c r="AK21" s="136">
        <f>Expenditure!AK145</f>
        <v>0</v>
      </c>
      <c r="AL21" s="136">
        <f>Expenditure!AL145</f>
        <v>0</v>
      </c>
      <c r="AM21" s="136">
        <f>Expenditure!AM145</f>
        <v>0</v>
      </c>
      <c r="AN21" s="136">
        <f>Expenditure!AN145</f>
        <v>0</v>
      </c>
      <c r="AO21" s="136">
        <f>Expenditure!AO145</f>
        <v>0</v>
      </c>
      <c r="AP21" s="136">
        <f>Expenditure!AP145</f>
        <v>0</v>
      </c>
      <c r="AQ21" s="136">
        <f>Expenditure!AQ145</f>
        <v>0</v>
      </c>
      <c r="AR21" s="136">
        <f>Expenditure!AR145</f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Expenditure!F151</f>
        <v>HV (CDCM)</v>
      </c>
      <c r="G22" s="101" t="str">
        <f>Expenditure!G151</f>
        <v>£ per year</v>
      </c>
      <c r="H22" s="110"/>
      <c r="I22" s="110"/>
      <c r="J22" s="175">
        <f>Expenditure!J151</f>
        <v>5609437.7182151098</v>
      </c>
      <c r="K22" s="175">
        <f>Expenditure!K151</f>
        <v>26411853.807042159</v>
      </c>
      <c r="L22" s="175">
        <f>Expenditure!L151</f>
        <v>318603.58297421131</v>
      </c>
      <c r="M22" s="175">
        <f>Expenditure!M151</f>
        <v>5245586.3421307728</v>
      </c>
      <c r="N22" s="175">
        <f>Expenditure!N151</f>
        <v>674811.15615022508</v>
      </c>
      <c r="O22" s="175">
        <f>Expenditure!O151</f>
        <v>4723376.4642617209</v>
      </c>
      <c r="P22" s="175">
        <f>Expenditure!P151</f>
        <v>107796.77036331475</v>
      </c>
      <c r="Q22" s="175">
        <f>Expenditure!Q151</f>
        <v>782332.58986594109</v>
      </c>
      <c r="R22" s="175">
        <f>Expenditure!R151</f>
        <v>583770.05808908038</v>
      </c>
      <c r="S22" s="175">
        <f>Expenditure!S151</f>
        <v>3254234.0556374164</v>
      </c>
      <c r="T22" s="175">
        <f>Expenditure!T151</f>
        <v>555527.56056133052</v>
      </c>
      <c r="U22" s="175">
        <f>Expenditure!U151</f>
        <v>256404.13238943947</v>
      </c>
      <c r="V22" s="175">
        <f>Expenditure!V151</f>
        <v>200255.14773498467</v>
      </c>
      <c r="W22" s="175">
        <f>Expenditure!W151</f>
        <v>189626.4587682327</v>
      </c>
      <c r="X22" s="175">
        <f>Expenditure!X151</f>
        <v>756783.81533469423</v>
      </c>
      <c r="Y22" s="175">
        <f>Expenditure!Y151</f>
        <v>0</v>
      </c>
      <c r="Z22" s="175">
        <f>Expenditure!Z151</f>
        <v>0</v>
      </c>
      <c r="AA22" s="175">
        <f>Expenditure!AA151</f>
        <v>190955.89407465202</v>
      </c>
      <c r="AB22" s="175">
        <f>Expenditure!AB151</f>
        <v>272871.05000714894</v>
      </c>
      <c r="AC22" s="175">
        <f>Expenditure!AC151</f>
        <v>1082555.9948240155</v>
      </c>
      <c r="AD22" s="175">
        <f>Expenditure!AD151</f>
        <v>213787.19600275409</v>
      </c>
      <c r="AE22" s="175">
        <f>Expenditure!AE151</f>
        <v>0</v>
      </c>
      <c r="AF22" s="175">
        <f>Expenditure!AF151</f>
        <v>0</v>
      </c>
      <c r="AG22" s="175">
        <f>Expenditure!AG151</f>
        <v>0</v>
      </c>
      <c r="AH22" s="175">
        <f>Expenditure!AH151</f>
        <v>0</v>
      </c>
      <c r="AI22" s="175">
        <f>Expenditure!AI151</f>
        <v>0</v>
      </c>
      <c r="AJ22" s="175">
        <f>Expenditure!AJ151</f>
        <v>0</v>
      </c>
      <c r="AK22" s="175">
        <f>Expenditure!AK151</f>
        <v>0</v>
      </c>
      <c r="AL22" s="175">
        <f>Expenditure!AL151</f>
        <v>0</v>
      </c>
      <c r="AM22" s="175">
        <f>Expenditure!AM151</f>
        <v>0</v>
      </c>
      <c r="AN22" s="175">
        <f>Expenditure!AN151</f>
        <v>0</v>
      </c>
      <c r="AO22" s="175">
        <f>Expenditure!AO151</f>
        <v>0</v>
      </c>
      <c r="AP22" s="175">
        <f>Expenditure!AP151</f>
        <v>0</v>
      </c>
      <c r="AQ22" s="175">
        <f>Expenditure!AQ151</f>
        <v>0</v>
      </c>
      <c r="AR22" s="175">
        <f>Expenditure!AR151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Expenditure!F148</f>
        <v>LV services (CDCM)</v>
      </c>
      <c r="G23" s="101" t="str">
        <f>Expenditure!G148</f>
        <v>£ per year</v>
      </c>
      <c r="H23" s="110"/>
      <c r="I23" s="110"/>
      <c r="J23" s="132">
        <f>Expenditure!J148</f>
        <v>0</v>
      </c>
      <c r="K23" s="132">
        <f>Expenditure!K148</f>
        <v>9158203.6717055291</v>
      </c>
      <c r="L23" s="132">
        <f>Expenditure!L148</f>
        <v>564998.67385846458</v>
      </c>
      <c r="M23" s="132">
        <f>Expenditure!M148</f>
        <v>7745062.2747518159</v>
      </c>
      <c r="N23" s="132">
        <f>Expenditure!N148</f>
        <v>1212113.5428737029</v>
      </c>
      <c r="O23" s="132">
        <f>Expenditure!O148</f>
        <v>593883.7660041037</v>
      </c>
      <c r="P23" s="132">
        <f>Expenditure!P148</f>
        <v>191162.42112828998</v>
      </c>
      <c r="Q23" s="132">
        <f>Expenditure!Q148</f>
        <v>1387356.8892861223</v>
      </c>
      <c r="R23" s="132">
        <f>Expenditure!R148</f>
        <v>1035234.1476502056</v>
      </c>
      <c r="S23" s="132">
        <f>Expenditure!S148</f>
        <v>5770926.7067753524</v>
      </c>
      <c r="T23" s="132">
        <f>Expenditure!T148</f>
        <v>985150.04783981142</v>
      </c>
      <c r="U23" s="132">
        <f>Expenditure!U148</f>
        <v>454696.69053781329</v>
      </c>
      <c r="V23" s="132">
        <f>Expenditure!V148</f>
        <v>355124.3581361589</v>
      </c>
      <c r="W23" s="132">
        <f>Expenditure!W148</f>
        <v>336275.87214297085</v>
      </c>
      <c r="X23" s="132">
        <f>Expenditure!X148</f>
        <v>1342049.7286003875</v>
      </c>
      <c r="Y23" s="132">
        <f>Expenditure!Y148</f>
        <v>0</v>
      </c>
      <c r="Z23" s="132">
        <f>Expenditure!Z148</f>
        <v>0</v>
      </c>
      <c r="AA23" s="132">
        <f>Expenditure!AA148</f>
        <v>338633.43880338199</v>
      </c>
      <c r="AB23" s="132">
        <f>Expenditure!AB148</f>
        <v>483898.45446554513</v>
      </c>
      <c r="AC23" s="132">
        <f>Expenditure!AC148</f>
        <v>1919760.9008138736</v>
      </c>
      <c r="AD23" s="132">
        <f>Expenditure!AD148</f>
        <v>379121.5437751456</v>
      </c>
      <c r="AE23" s="132">
        <f>Expenditure!AE148</f>
        <v>0</v>
      </c>
      <c r="AF23" s="132">
        <f>Expenditure!AF148</f>
        <v>0</v>
      </c>
      <c r="AG23" s="132">
        <f>Expenditure!AG148</f>
        <v>0</v>
      </c>
      <c r="AH23" s="132">
        <f>Expenditure!AH148</f>
        <v>0</v>
      </c>
      <c r="AI23" s="132">
        <f>Expenditure!AI148</f>
        <v>0</v>
      </c>
      <c r="AJ23" s="132">
        <f>Expenditure!AJ148</f>
        <v>0</v>
      </c>
      <c r="AK23" s="132">
        <f>Expenditure!AK148</f>
        <v>0</v>
      </c>
      <c r="AL23" s="132">
        <f>Expenditure!AL148</f>
        <v>0</v>
      </c>
      <c r="AM23" s="132">
        <f>Expenditure!AM148</f>
        <v>0</v>
      </c>
      <c r="AN23" s="132">
        <f>Expenditure!AN148</f>
        <v>0</v>
      </c>
      <c r="AO23" s="132">
        <f>Expenditure!AO148</f>
        <v>0</v>
      </c>
      <c r="AP23" s="132">
        <f>Expenditure!AP148</f>
        <v>1450093.49</v>
      </c>
      <c r="AQ23" s="132">
        <f>Expenditure!AQ148</f>
        <v>0</v>
      </c>
      <c r="AR23" s="132">
        <f>Expenditure!AR148</f>
        <v>3904507.2984289345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3" t="str">
        <f>Expenditure!F149</f>
        <v>LV mains (CDCM)</v>
      </c>
      <c r="G24" s="103" t="str">
        <f>Expenditure!G149</f>
        <v>£ per year</v>
      </c>
      <c r="H24" s="126"/>
      <c r="I24" s="127"/>
      <c r="J24" s="142">
        <f>Expenditure!J149</f>
        <v>3833598.9292598576</v>
      </c>
      <c r="K24" s="142">
        <f>Expenditure!K149</f>
        <v>8762976.5424125157</v>
      </c>
      <c r="L24" s="142">
        <f>Expenditure!L149</f>
        <v>540615.85688603367</v>
      </c>
      <c r="M24" s="142">
        <f>Expenditure!M149</f>
        <v>7410820.0107909292</v>
      </c>
      <c r="N24" s="142">
        <f>Expenditure!N149</f>
        <v>1159804.1410411992</v>
      </c>
      <c r="O24" s="142">
        <f>Expenditure!O149</f>
        <v>568254.39758366812</v>
      </c>
      <c r="P24" s="142">
        <f>Expenditure!P149</f>
        <v>182912.705612063</v>
      </c>
      <c r="Q24" s="142">
        <f>Expenditure!Q149</f>
        <v>1327484.7680368985</v>
      </c>
      <c r="R24" s="142">
        <f>Expenditure!R149</f>
        <v>990558.06978725351</v>
      </c>
      <c r="S24" s="142">
        <f>Expenditure!S149</f>
        <v>5521879.3086785106</v>
      </c>
      <c r="T24" s="142">
        <f>Expenditure!T149</f>
        <v>942635.37582683435</v>
      </c>
      <c r="U24" s="142">
        <f>Expenditure!U149</f>
        <v>435074.01406737108</v>
      </c>
      <c r="V24" s="142">
        <f>Expenditure!V149</f>
        <v>339798.77840027609</v>
      </c>
      <c r="W24" s="142">
        <f>Expenditure!W149</f>
        <v>321763.70880157402</v>
      </c>
      <c r="X24" s="142">
        <f>Expenditure!X149</f>
        <v>1284132.8618635267</v>
      </c>
      <c r="Y24" s="142">
        <f>Expenditure!Y149</f>
        <v>0</v>
      </c>
      <c r="Z24" s="142">
        <f>Expenditure!Z149</f>
        <v>0</v>
      </c>
      <c r="AA24" s="142">
        <f>Expenditure!AA149</f>
        <v>324019.53342427639</v>
      </c>
      <c r="AB24" s="142">
        <f>Expenditure!AB149</f>
        <v>463015.56040864467</v>
      </c>
      <c r="AC24" s="142">
        <f>Expenditure!AC149</f>
        <v>1836912.6025060094</v>
      </c>
      <c r="AD24" s="142">
        <f>Expenditure!AD149</f>
        <v>362760.35278500448</v>
      </c>
      <c r="AE24" s="142">
        <f>Expenditure!AE149</f>
        <v>0</v>
      </c>
      <c r="AF24" s="142">
        <f>Expenditure!AF149</f>
        <v>0</v>
      </c>
      <c r="AG24" s="142">
        <f>Expenditure!AG149</f>
        <v>0</v>
      </c>
      <c r="AH24" s="142">
        <f>Expenditure!AH149</f>
        <v>0</v>
      </c>
      <c r="AI24" s="142">
        <f>Expenditure!AI149</f>
        <v>0</v>
      </c>
      <c r="AJ24" s="142">
        <f>Expenditure!AJ149</f>
        <v>0</v>
      </c>
      <c r="AK24" s="142">
        <f>Expenditure!AK149</f>
        <v>0</v>
      </c>
      <c r="AL24" s="142">
        <f>Expenditure!AL149</f>
        <v>0</v>
      </c>
      <c r="AM24" s="142">
        <f>Expenditure!AM149</f>
        <v>0</v>
      </c>
      <c r="AN24" s="142">
        <f>Expenditure!AN149</f>
        <v>0</v>
      </c>
      <c r="AO24" s="142">
        <f>Expenditure!AO149</f>
        <v>0</v>
      </c>
      <c r="AP24" s="142">
        <f>Expenditure!AP149</f>
        <v>0</v>
      </c>
      <c r="AQ24" s="142">
        <f>Expenditure!AQ149</f>
        <v>0</v>
      </c>
      <c r="AR24" s="142">
        <f>Expenditure!AR149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39"/>
    </row>
    <row r="26" spans="1:46" x14ac:dyDescent="0.25">
      <c r="A26" s="101"/>
      <c r="B26" s="39"/>
      <c r="C26" s="39"/>
      <c r="D26" s="39"/>
      <c r="E26" s="98" t="s">
        <v>333</v>
      </c>
      <c r="F26" s="39"/>
      <c r="G26" s="39"/>
      <c r="H26" s="65"/>
      <c r="I26" s="112" t="s">
        <v>314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101" t="s">
        <v>584</v>
      </c>
    </row>
    <row r="27" spans="1:46" x14ac:dyDescent="0.25">
      <c r="A27" s="39"/>
      <c r="B27" s="39"/>
      <c r="C27" s="39"/>
      <c r="D27" s="39"/>
      <c r="E27" s="39"/>
      <c r="F27" s="99" t="s">
        <v>291</v>
      </c>
      <c r="G27" s="99" t="s">
        <v>438</v>
      </c>
      <c r="H27" s="125"/>
      <c r="I27" s="125"/>
      <c r="J27" s="125">
        <f t="shared" ref="J27:AQ27" si="0">MAX(J21, 0)</f>
        <v>10180000</v>
      </c>
      <c r="K27" s="125">
        <f t="shared" si="0"/>
        <v>35472210.487194926</v>
      </c>
      <c r="L27" s="125">
        <f t="shared" si="0"/>
        <v>863139.78799552319</v>
      </c>
      <c r="M27" s="125">
        <f t="shared" si="0"/>
        <v>2623947.7688073181</v>
      </c>
      <c r="N27" s="125">
        <f t="shared" si="0"/>
        <v>3350477.2222617008</v>
      </c>
      <c r="O27" s="125">
        <f t="shared" si="0"/>
        <v>0</v>
      </c>
      <c r="P27" s="125">
        <f t="shared" si="0"/>
        <v>292035.89190497209</v>
      </c>
      <c r="Q27" s="125">
        <f t="shared" si="0"/>
        <v>2119443.7911061868</v>
      </c>
      <c r="R27" s="125">
        <f t="shared" si="0"/>
        <v>1581511.2920997129</v>
      </c>
      <c r="S27" s="125">
        <f t="shared" si="0"/>
        <v>8816156.0100786686</v>
      </c>
      <c r="T27" s="125">
        <f t="shared" si="0"/>
        <v>1504998.5827917978</v>
      </c>
      <c r="U27" s="125">
        <f t="shared" si="0"/>
        <v>694633.14381404966</v>
      </c>
      <c r="V27" s="125">
        <f t="shared" si="0"/>
        <v>542518.02238827199</v>
      </c>
      <c r="W27" s="125">
        <f t="shared" si="0"/>
        <v>513723.48010537733</v>
      </c>
      <c r="X27" s="125">
        <f t="shared" si="0"/>
        <v>2050228.7382603094</v>
      </c>
      <c r="Y27" s="125">
        <f t="shared" si="0"/>
        <v>0</v>
      </c>
      <c r="Z27" s="125">
        <f t="shared" si="0"/>
        <v>0</v>
      </c>
      <c r="AA27" s="125">
        <f t="shared" si="0"/>
        <v>517325.09844822384</v>
      </c>
      <c r="AB27" s="125">
        <f t="shared" si="0"/>
        <v>739244.22963049496</v>
      </c>
      <c r="AC27" s="125">
        <f t="shared" si="0"/>
        <v>2932789.2145560593</v>
      </c>
      <c r="AD27" s="125">
        <f t="shared" si="0"/>
        <v>579178.1539660549</v>
      </c>
      <c r="AE27" s="125">
        <f t="shared" si="0"/>
        <v>0</v>
      </c>
      <c r="AF27" s="125">
        <f t="shared" si="0"/>
        <v>0</v>
      </c>
      <c r="AG27" s="125">
        <f t="shared" si="0"/>
        <v>0</v>
      </c>
      <c r="AH27" s="125">
        <f t="shared" si="0"/>
        <v>0</v>
      </c>
      <c r="AI27" s="125">
        <f t="shared" si="0"/>
        <v>0</v>
      </c>
      <c r="AJ27" s="125">
        <f t="shared" si="0"/>
        <v>0</v>
      </c>
      <c r="AK27" s="125">
        <f t="shared" si="0"/>
        <v>0</v>
      </c>
      <c r="AL27" s="125">
        <f t="shared" si="0"/>
        <v>0</v>
      </c>
      <c r="AM27" s="125">
        <f t="shared" si="0"/>
        <v>0</v>
      </c>
      <c r="AN27" s="125">
        <f t="shared" si="0"/>
        <v>0</v>
      </c>
      <c r="AO27" s="125">
        <f t="shared" si="0"/>
        <v>0</v>
      </c>
      <c r="AP27" s="125">
        <f t="shared" ref="AP27" si="1">MAX(AP21, 0)</f>
        <v>0</v>
      </c>
      <c r="AQ27" s="125">
        <f t="shared" si="0"/>
        <v>0</v>
      </c>
      <c r="AR27" s="125">
        <f t="shared" ref="AR27" si="2">MAX(AR21, 0)</f>
        <v>0</v>
      </c>
      <c r="AS27" s="65"/>
      <c r="AT27" s="39"/>
    </row>
    <row r="28" spans="1:46" x14ac:dyDescent="0.25">
      <c r="A28" s="39"/>
      <c r="B28" s="39"/>
      <c r="C28" s="39"/>
      <c r="D28" s="39"/>
      <c r="E28" s="39"/>
      <c r="F28" s="101" t="s">
        <v>285</v>
      </c>
      <c r="G28" s="101" t="s">
        <v>438</v>
      </c>
      <c r="H28" s="110"/>
      <c r="I28" s="110"/>
      <c r="J28" s="110">
        <f t="shared" ref="J28:AQ28" si="3">MAX(J22, 0)</f>
        <v>5609437.7182151098</v>
      </c>
      <c r="K28" s="110">
        <f t="shared" si="3"/>
        <v>26411853.807042159</v>
      </c>
      <c r="L28" s="110">
        <f t="shared" si="3"/>
        <v>318603.58297421131</v>
      </c>
      <c r="M28" s="110">
        <f t="shared" si="3"/>
        <v>5245586.3421307728</v>
      </c>
      <c r="N28" s="110">
        <f t="shared" si="3"/>
        <v>674811.15615022508</v>
      </c>
      <c r="O28" s="110">
        <f t="shared" si="3"/>
        <v>4723376.4642617209</v>
      </c>
      <c r="P28" s="110">
        <f t="shared" si="3"/>
        <v>107796.77036331475</v>
      </c>
      <c r="Q28" s="110">
        <f t="shared" si="3"/>
        <v>782332.58986594109</v>
      </c>
      <c r="R28" s="110">
        <f t="shared" si="3"/>
        <v>583770.05808908038</v>
      </c>
      <c r="S28" s="110">
        <f t="shared" si="3"/>
        <v>3254234.0556374164</v>
      </c>
      <c r="T28" s="110">
        <f t="shared" si="3"/>
        <v>555527.56056133052</v>
      </c>
      <c r="U28" s="110">
        <f t="shared" si="3"/>
        <v>256404.13238943947</v>
      </c>
      <c r="V28" s="110">
        <f t="shared" si="3"/>
        <v>200255.14773498467</v>
      </c>
      <c r="W28" s="110">
        <f t="shared" si="3"/>
        <v>189626.4587682327</v>
      </c>
      <c r="X28" s="110">
        <f t="shared" si="3"/>
        <v>756783.81533469423</v>
      </c>
      <c r="Y28" s="110">
        <f t="shared" si="3"/>
        <v>0</v>
      </c>
      <c r="Z28" s="110">
        <f t="shared" si="3"/>
        <v>0</v>
      </c>
      <c r="AA28" s="110">
        <f t="shared" si="3"/>
        <v>190955.89407465202</v>
      </c>
      <c r="AB28" s="110">
        <f t="shared" si="3"/>
        <v>272871.05000714894</v>
      </c>
      <c r="AC28" s="110">
        <f t="shared" si="3"/>
        <v>1082555.9948240155</v>
      </c>
      <c r="AD28" s="110">
        <f t="shared" si="3"/>
        <v>213787.19600275409</v>
      </c>
      <c r="AE28" s="110">
        <f t="shared" si="3"/>
        <v>0</v>
      </c>
      <c r="AF28" s="110">
        <f t="shared" si="3"/>
        <v>0</v>
      </c>
      <c r="AG28" s="110">
        <f t="shared" si="3"/>
        <v>0</v>
      </c>
      <c r="AH28" s="110">
        <f t="shared" si="3"/>
        <v>0</v>
      </c>
      <c r="AI28" s="110">
        <f t="shared" si="3"/>
        <v>0</v>
      </c>
      <c r="AJ28" s="110">
        <f t="shared" si="3"/>
        <v>0</v>
      </c>
      <c r="AK28" s="110">
        <f t="shared" si="3"/>
        <v>0</v>
      </c>
      <c r="AL28" s="110">
        <f t="shared" si="3"/>
        <v>0</v>
      </c>
      <c r="AM28" s="110">
        <f t="shared" si="3"/>
        <v>0</v>
      </c>
      <c r="AN28" s="110">
        <f t="shared" si="3"/>
        <v>0</v>
      </c>
      <c r="AO28" s="110">
        <f t="shared" si="3"/>
        <v>0</v>
      </c>
      <c r="AP28" s="110">
        <f t="shared" ref="AP28" si="4">MAX(AP22, 0)</f>
        <v>0</v>
      </c>
      <c r="AQ28" s="110">
        <f t="shared" si="3"/>
        <v>0</v>
      </c>
      <c r="AR28" s="110">
        <f t="shared" ref="AR28" si="5">MAX(AR22, 0)</f>
        <v>0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">
        <v>282</v>
      </c>
      <c r="G29" s="101" t="s">
        <v>438</v>
      </c>
      <c r="H29" s="110"/>
      <c r="I29" s="110"/>
      <c r="J29" s="110">
        <f t="shared" ref="J29:AQ29" si="6">MAX(J23, 0)</f>
        <v>0</v>
      </c>
      <c r="K29" s="110">
        <f t="shared" si="6"/>
        <v>9158203.6717055291</v>
      </c>
      <c r="L29" s="110">
        <f t="shared" si="6"/>
        <v>564998.67385846458</v>
      </c>
      <c r="M29" s="110">
        <f t="shared" si="6"/>
        <v>7745062.2747518159</v>
      </c>
      <c r="N29" s="110">
        <f t="shared" si="6"/>
        <v>1212113.5428737029</v>
      </c>
      <c r="O29" s="110">
        <f t="shared" si="6"/>
        <v>593883.7660041037</v>
      </c>
      <c r="P29" s="110">
        <f t="shared" si="6"/>
        <v>191162.42112828998</v>
      </c>
      <c r="Q29" s="110">
        <f t="shared" si="6"/>
        <v>1387356.8892861223</v>
      </c>
      <c r="R29" s="110">
        <f t="shared" si="6"/>
        <v>1035234.1476502056</v>
      </c>
      <c r="S29" s="110">
        <f t="shared" si="6"/>
        <v>5770926.7067753524</v>
      </c>
      <c r="T29" s="110">
        <f t="shared" si="6"/>
        <v>985150.04783981142</v>
      </c>
      <c r="U29" s="110">
        <f t="shared" si="6"/>
        <v>454696.69053781329</v>
      </c>
      <c r="V29" s="110">
        <f t="shared" si="6"/>
        <v>355124.3581361589</v>
      </c>
      <c r="W29" s="110">
        <f t="shared" si="6"/>
        <v>336275.87214297085</v>
      </c>
      <c r="X29" s="110">
        <f t="shared" si="6"/>
        <v>1342049.7286003875</v>
      </c>
      <c r="Y29" s="110">
        <f t="shared" si="6"/>
        <v>0</v>
      </c>
      <c r="Z29" s="110">
        <f t="shared" si="6"/>
        <v>0</v>
      </c>
      <c r="AA29" s="110">
        <f t="shared" si="6"/>
        <v>338633.43880338199</v>
      </c>
      <c r="AB29" s="110">
        <f t="shared" si="6"/>
        <v>483898.45446554513</v>
      </c>
      <c r="AC29" s="110">
        <f t="shared" si="6"/>
        <v>1919760.9008138736</v>
      </c>
      <c r="AD29" s="110">
        <f t="shared" si="6"/>
        <v>379121.5437751456</v>
      </c>
      <c r="AE29" s="110">
        <f t="shared" si="6"/>
        <v>0</v>
      </c>
      <c r="AF29" s="110">
        <f t="shared" si="6"/>
        <v>0</v>
      </c>
      <c r="AG29" s="110">
        <f t="shared" si="6"/>
        <v>0</v>
      </c>
      <c r="AH29" s="110">
        <f t="shared" si="6"/>
        <v>0</v>
      </c>
      <c r="AI29" s="110">
        <f t="shared" si="6"/>
        <v>0</v>
      </c>
      <c r="AJ29" s="110">
        <f t="shared" si="6"/>
        <v>0</v>
      </c>
      <c r="AK29" s="110">
        <f t="shared" si="6"/>
        <v>0</v>
      </c>
      <c r="AL29" s="110">
        <f t="shared" si="6"/>
        <v>0</v>
      </c>
      <c r="AM29" s="110">
        <f t="shared" si="6"/>
        <v>0</v>
      </c>
      <c r="AN29" s="110">
        <f t="shared" si="6"/>
        <v>0</v>
      </c>
      <c r="AO29" s="110">
        <f t="shared" si="6"/>
        <v>0</v>
      </c>
      <c r="AP29" s="110">
        <f t="shared" ref="AP29" si="7">MAX(AP23, 0)</f>
        <v>1450093.49</v>
      </c>
      <c r="AQ29" s="110">
        <f t="shared" si="6"/>
        <v>0</v>
      </c>
      <c r="AR29" s="110">
        <f t="shared" ref="AR29" si="8">MAX(AR23, 0)</f>
        <v>3904507.2984289345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3" t="s">
        <v>283</v>
      </c>
      <c r="G30" s="103" t="s">
        <v>438</v>
      </c>
      <c r="H30" s="126"/>
      <c r="I30" s="127"/>
      <c r="J30" s="127">
        <f t="shared" ref="J30:AQ30" si="9">MAX(J24, 0)</f>
        <v>3833598.9292598576</v>
      </c>
      <c r="K30" s="127">
        <f t="shared" si="9"/>
        <v>8762976.5424125157</v>
      </c>
      <c r="L30" s="127">
        <f t="shared" si="9"/>
        <v>540615.85688603367</v>
      </c>
      <c r="M30" s="127">
        <f t="shared" si="9"/>
        <v>7410820.0107909292</v>
      </c>
      <c r="N30" s="127">
        <f t="shared" si="9"/>
        <v>1159804.1410411992</v>
      </c>
      <c r="O30" s="127">
        <f t="shared" si="9"/>
        <v>568254.39758366812</v>
      </c>
      <c r="P30" s="127">
        <f t="shared" si="9"/>
        <v>182912.705612063</v>
      </c>
      <c r="Q30" s="127">
        <f t="shared" si="9"/>
        <v>1327484.7680368985</v>
      </c>
      <c r="R30" s="127">
        <f t="shared" si="9"/>
        <v>990558.06978725351</v>
      </c>
      <c r="S30" s="127">
        <f t="shared" si="9"/>
        <v>5521879.3086785106</v>
      </c>
      <c r="T30" s="127">
        <f t="shared" si="9"/>
        <v>942635.37582683435</v>
      </c>
      <c r="U30" s="127">
        <f t="shared" si="9"/>
        <v>435074.01406737108</v>
      </c>
      <c r="V30" s="127">
        <f t="shared" si="9"/>
        <v>339798.77840027609</v>
      </c>
      <c r="W30" s="127">
        <f t="shared" si="9"/>
        <v>321763.70880157402</v>
      </c>
      <c r="X30" s="127">
        <f t="shared" si="9"/>
        <v>1284132.8618635267</v>
      </c>
      <c r="Y30" s="127">
        <f t="shared" si="9"/>
        <v>0</v>
      </c>
      <c r="Z30" s="127">
        <f t="shared" si="9"/>
        <v>0</v>
      </c>
      <c r="AA30" s="127">
        <f t="shared" si="9"/>
        <v>324019.53342427639</v>
      </c>
      <c r="AB30" s="127">
        <f t="shared" si="9"/>
        <v>463015.56040864467</v>
      </c>
      <c r="AC30" s="127">
        <f t="shared" si="9"/>
        <v>1836912.6025060094</v>
      </c>
      <c r="AD30" s="127">
        <f t="shared" si="9"/>
        <v>362760.35278500448</v>
      </c>
      <c r="AE30" s="127">
        <f t="shared" si="9"/>
        <v>0</v>
      </c>
      <c r="AF30" s="127">
        <f t="shared" si="9"/>
        <v>0</v>
      </c>
      <c r="AG30" s="127">
        <f t="shared" si="9"/>
        <v>0</v>
      </c>
      <c r="AH30" s="127">
        <f t="shared" si="9"/>
        <v>0</v>
      </c>
      <c r="AI30" s="127">
        <f t="shared" si="9"/>
        <v>0</v>
      </c>
      <c r="AJ30" s="127">
        <f t="shared" si="9"/>
        <v>0</v>
      </c>
      <c r="AK30" s="127">
        <f t="shared" si="9"/>
        <v>0</v>
      </c>
      <c r="AL30" s="127">
        <f t="shared" si="9"/>
        <v>0</v>
      </c>
      <c r="AM30" s="127">
        <f t="shared" si="9"/>
        <v>0</v>
      </c>
      <c r="AN30" s="127">
        <f t="shared" si="9"/>
        <v>0</v>
      </c>
      <c r="AO30" s="127">
        <f t="shared" si="9"/>
        <v>0</v>
      </c>
      <c r="AP30" s="127">
        <f t="shared" ref="AP30" si="10">MAX(AP24, 0)</f>
        <v>0</v>
      </c>
      <c r="AQ30" s="127">
        <f t="shared" si="9"/>
        <v>0</v>
      </c>
      <c r="AR30" s="127">
        <f t="shared" ref="AR30" si="11">MAX(AR24, 0)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39"/>
    </row>
    <row r="32" spans="1:46" x14ac:dyDescent="0.25">
      <c r="A32" s="39"/>
      <c r="B32" s="39"/>
      <c r="C32" s="96" t="s">
        <v>648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6"/>
    </row>
    <row r="33" spans="1:46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39"/>
      <c r="D34" s="95"/>
      <c r="E34" s="98" t="s">
        <v>331</v>
      </c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39"/>
    </row>
    <row r="35" spans="1:46" x14ac:dyDescent="0.25">
      <c r="A35" s="101"/>
      <c r="B35" s="39"/>
      <c r="C35" s="39"/>
      <c r="D35" s="39"/>
      <c r="E35" s="39"/>
      <c r="F35" s="99" t="s">
        <v>291</v>
      </c>
      <c r="G35" s="99" t="s">
        <v>438</v>
      </c>
      <c r="H35" s="125">
        <f>SUM(J27:AR27)</f>
        <v>75373560.915409639</v>
      </c>
      <c r="I35" s="123" t="s">
        <v>314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65"/>
      <c r="AT35" s="101" t="s">
        <v>585</v>
      </c>
    </row>
    <row r="36" spans="1:46" x14ac:dyDescent="0.25">
      <c r="A36" s="101"/>
      <c r="B36" s="39"/>
      <c r="C36" s="39"/>
      <c r="D36" s="39"/>
      <c r="E36" s="39"/>
      <c r="F36" s="101" t="s">
        <v>285</v>
      </c>
      <c r="G36" s="101" t="s">
        <v>438</v>
      </c>
      <c r="H36" s="110">
        <f>SUM(J28:AR28)</f>
        <v>51430569.794427186</v>
      </c>
      <c r="I36" s="123" t="s">
        <v>314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65"/>
      <c r="AT36" s="101" t="s">
        <v>586</v>
      </c>
    </row>
    <row r="37" spans="1:46" x14ac:dyDescent="0.25">
      <c r="A37" s="101"/>
      <c r="B37" s="39"/>
      <c r="C37" s="39"/>
      <c r="D37" s="39"/>
      <c r="E37" s="39"/>
      <c r="F37" s="101" t="s">
        <v>282</v>
      </c>
      <c r="G37" s="101" t="s">
        <v>438</v>
      </c>
      <c r="H37" s="110">
        <f>SUM(J29:AR29)</f>
        <v>39608253.917577617</v>
      </c>
      <c r="I37" s="123" t="s">
        <v>314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65"/>
      <c r="AT37" s="101" t="s">
        <v>587</v>
      </c>
    </row>
    <row r="38" spans="1:46" x14ac:dyDescent="0.25">
      <c r="A38" s="101"/>
      <c r="B38" s="39"/>
      <c r="C38" s="39"/>
      <c r="D38" s="39"/>
      <c r="E38" s="39"/>
      <c r="F38" s="103" t="s">
        <v>283</v>
      </c>
      <c r="G38" s="103" t="s">
        <v>438</v>
      </c>
      <c r="H38" s="126">
        <f>SUM(J30:AR30)</f>
        <v>36609017.51817245</v>
      </c>
      <c r="I38" s="123" t="s">
        <v>314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65"/>
      <c r="AT38" s="101" t="s">
        <v>587</v>
      </c>
    </row>
    <row r="39" spans="1:4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inputs'!E$141</f>
        <v>Direct cost indicator, by cost category</v>
      </c>
      <c r="F40" s="39"/>
      <c r="G40" s="101" t="str">
        <f>'Fixed inputs'!G$142</f>
        <v>flag</v>
      </c>
      <c r="H40" s="116"/>
      <c r="I40" s="116"/>
      <c r="J40" s="176">
        <f t="array" ref="J40:AR40">TRANSPOSE('Fixed inputs'!H142:H176)</f>
        <v>1</v>
      </c>
      <c r="K40" s="176">
        <v>1</v>
      </c>
      <c r="L40" s="176">
        <v>1</v>
      </c>
      <c r="M40" s="176">
        <v>1</v>
      </c>
      <c r="N40" s="176">
        <v>1</v>
      </c>
      <c r="O40" s="176">
        <v>1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1</v>
      </c>
      <c r="AF40" s="176">
        <v>1</v>
      </c>
      <c r="AG40" s="176">
        <v>1</v>
      </c>
      <c r="AH40" s="176">
        <v>1</v>
      </c>
      <c r="AI40" s="176">
        <v>1</v>
      </c>
      <c r="AJ40" s="176">
        <v>1</v>
      </c>
      <c r="AK40" s="176">
        <v>1</v>
      </c>
      <c r="AL40" s="176">
        <v>1</v>
      </c>
      <c r="AM40" s="176">
        <v>1</v>
      </c>
      <c r="AN40" s="176">
        <v>1</v>
      </c>
      <c r="AO40" s="176">
        <v>1</v>
      </c>
      <c r="AP40" s="176">
        <v>0</v>
      </c>
      <c r="AQ40" s="176">
        <v>1</v>
      </c>
      <c r="AR40" s="176">
        <v>0</v>
      </c>
      <c r="AS40" s="65"/>
      <c r="AT40" s="39"/>
    </row>
    <row r="41" spans="1:46" x14ac:dyDescent="0.25">
      <c r="A41" s="39"/>
      <c r="B41" s="39"/>
      <c r="C41" s="39"/>
      <c r="D41" s="39"/>
      <c r="E41" s="95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39"/>
      <c r="B42" s="39"/>
      <c r="C42" s="39"/>
      <c r="D42" s="39"/>
      <c r="E42" s="98" t="s">
        <v>334</v>
      </c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39"/>
    </row>
    <row r="43" spans="1:46" x14ac:dyDescent="0.25">
      <c r="A43" s="101"/>
      <c r="B43" s="39"/>
      <c r="C43" s="39"/>
      <c r="D43" s="39"/>
      <c r="E43" s="39"/>
      <c r="F43" s="99" t="s">
        <v>291</v>
      </c>
      <c r="G43" s="99" t="s">
        <v>438</v>
      </c>
      <c r="H43" s="125">
        <f>SUMPRODUCT(J27:AR27, J$40:AR$40)</f>
        <v>52489775.266259462</v>
      </c>
      <c r="I43" s="123" t="s">
        <v>314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101" t="s">
        <v>585</v>
      </c>
    </row>
    <row r="44" spans="1:46" x14ac:dyDescent="0.25">
      <c r="A44" s="101"/>
      <c r="B44" s="39"/>
      <c r="C44" s="39"/>
      <c r="D44" s="39"/>
      <c r="E44" s="39"/>
      <c r="F44" s="101" t="s">
        <v>285</v>
      </c>
      <c r="G44" s="101" t="s">
        <v>438</v>
      </c>
      <c r="H44" s="110">
        <f t="shared" ref="H44:H46" si="12">SUMPRODUCT(J28:AR28, J$40:AR$40)</f>
        <v>42983669.07077419</v>
      </c>
      <c r="I44" s="123" t="s">
        <v>314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101" t="s">
        <v>586</v>
      </c>
    </row>
    <row r="45" spans="1:46" x14ac:dyDescent="0.25">
      <c r="A45" s="101"/>
      <c r="B45" s="39"/>
      <c r="C45" s="39"/>
      <c r="D45" s="39"/>
      <c r="E45" s="39"/>
      <c r="F45" s="101" t="s">
        <v>282</v>
      </c>
      <c r="G45" s="101" t="s">
        <v>438</v>
      </c>
      <c r="H45" s="110">
        <f t="shared" si="12"/>
        <v>19274261.929193616</v>
      </c>
      <c r="I45" s="123" t="s">
        <v>314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101" t="s">
        <v>587</v>
      </c>
    </row>
    <row r="46" spans="1:46" x14ac:dyDescent="0.25">
      <c r="A46" s="101"/>
      <c r="B46" s="39"/>
      <c r="C46" s="39"/>
      <c r="D46" s="39"/>
      <c r="E46" s="39"/>
      <c r="F46" s="103" t="s">
        <v>283</v>
      </c>
      <c r="G46" s="103" t="s">
        <v>438</v>
      </c>
      <c r="H46" s="126">
        <f t="shared" si="12"/>
        <v>22276069.877974205</v>
      </c>
      <c r="I46" s="123" t="s">
        <v>314</v>
      </c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101" t="s">
        <v>587</v>
      </c>
    </row>
    <row r="47" spans="1:46" x14ac:dyDescent="0.25">
      <c r="A47" s="39"/>
      <c r="B47" s="39"/>
      <c r="C47" s="39"/>
      <c r="D47" s="39"/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39"/>
    </row>
    <row r="48" spans="1:46" x14ac:dyDescent="0.25">
      <c r="A48" s="39"/>
      <c r="B48" s="39"/>
      <c r="C48" s="39"/>
      <c r="D48" s="39"/>
      <c r="E48" s="98" t="s">
        <v>474</v>
      </c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39"/>
      <c r="B49" s="39"/>
      <c r="C49" s="39"/>
      <c r="D49" s="39"/>
      <c r="E49" s="39"/>
      <c r="F49" s="99" t="s">
        <v>291</v>
      </c>
      <c r="G49" s="99" t="s">
        <v>470</v>
      </c>
      <c r="H49" s="125" t="b">
        <f>H43 &gt; 0</f>
        <v>1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39"/>
    </row>
    <row r="50" spans="1:46" x14ac:dyDescent="0.25">
      <c r="A50" s="39"/>
      <c r="B50" s="39"/>
      <c r="C50" s="39"/>
      <c r="D50" s="39"/>
      <c r="E50" s="39"/>
      <c r="F50" s="101" t="s">
        <v>285</v>
      </c>
      <c r="G50" s="101" t="s">
        <v>470</v>
      </c>
      <c r="H50" s="110" t="b">
        <f>H44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39"/>
      <c r="F51" s="103" t="s">
        <v>475</v>
      </c>
      <c r="G51" s="103" t="s">
        <v>470</v>
      </c>
      <c r="H51" s="138" t="b">
        <f>H45 + H46 &gt; 0</f>
        <v>1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65"/>
      <c r="AT51" s="39"/>
    </row>
    <row r="52" spans="1:4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39"/>
      <c r="C53" s="39"/>
      <c r="D53" s="39"/>
      <c r="E53" s="101" t="s">
        <v>476</v>
      </c>
      <c r="F53" s="39"/>
      <c r="G53" s="101" t="s">
        <v>231</v>
      </c>
      <c r="H53" s="116">
        <f>COUNTIF(H49:H51, "=FALSE")</f>
        <v>0</v>
      </c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65"/>
      <c r="AT53" s="39"/>
    </row>
    <row r="54" spans="1:46" x14ac:dyDescent="0.25">
      <c r="A54" s="39"/>
      <c r="B54" s="39"/>
      <c r="C54" s="39"/>
      <c r="D54" s="39"/>
      <c r="E54" s="95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39"/>
      <c r="D55" s="39"/>
      <c r="E55" s="98" t="s">
        <v>292</v>
      </c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101"/>
      <c r="B56" s="39"/>
      <c r="C56" s="39"/>
      <c r="D56" s="39"/>
      <c r="E56" s="39"/>
      <c r="F56" s="99" t="s">
        <v>281</v>
      </c>
      <c r="G56" s="99" t="s">
        <v>44</v>
      </c>
      <c r="H56" s="133">
        <f>IF(H49, H43 / H35, 0)</f>
        <v>0.69639505721598816</v>
      </c>
      <c r="I56" s="111" t="s">
        <v>314</v>
      </c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65"/>
      <c r="AT56" s="101" t="s">
        <v>585</v>
      </c>
    </row>
    <row r="57" spans="1:46" x14ac:dyDescent="0.25">
      <c r="A57" s="101"/>
      <c r="B57" s="39"/>
      <c r="C57" s="39"/>
      <c r="D57" s="39"/>
      <c r="E57" s="39"/>
      <c r="F57" s="101" t="s">
        <v>335</v>
      </c>
      <c r="G57" s="101" t="s">
        <v>44</v>
      </c>
      <c r="H57" s="134">
        <f>IF(H50, H44 / H36, 0)</f>
        <v>0.83576109000121812</v>
      </c>
      <c r="I57" s="111" t="s">
        <v>314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65"/>
      <c r="AT57" s="101" t="s">
        <v>586</v>
      </c>
    </row>
    <row r="58" spans="1:46" x14ac:dyDescent="0.25">
      <c r="A58" s="101"/>
      <c r="B58" s="39"/>
      <c r="C58" s="39"/>
      <c r="D58" s="39"/>
      <c r="E58" s="39"/>
      <c r="F58" s="103" t="s">
        <v>336</v>
      </c>
      <c r="G58" s="103" t="s">
        <v>44</v>
      </c>
      <c r="H58" s="177">
        <f>IF(H51, (H45 + H46) / (H37 + H38), 0)</f>
        <v>0.54515638023323998</v>
      </c>
      <c r="I58" s="111" t="s">
        <v>314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65"/>
      <c r="AT58" s="101" t="s">
        <v>587</v>
      </c>
    </row>
    <row r="59" spans="1:46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93" t="s">
        <v>242</v>
      </c>
      <c r="C60" s="93"/>
      <c r="D60" s="93"/>
      <c r="E60" s="93"/>
      <c r="F60" s="93"/>
      <c r="G60" s="93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3"/>
    </row>
    <row r="61" spans="1:46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95"/>
      <c r="D62" s="95"/>
      <c r="E62" s="101" t="s">
        <v>232</v>
      </c>
      <c r="F62" s="39"/>
      <c r="G62" s="101" t="s">
        <v>231</v>
      </c>
      <c r="H62" s="139">
        <f>H53</f>
        <v>0</v>
      </c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65"/>
      <c r="AT62" s="39"/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93" t="s">
        <v>30</v>
      </c>
      <c r="C64" s="93"/>
      <c r="D64" s="93"/>
      <c r="E64" s="93"/>
      <c r="F64" s="93"/>
      <c r="G64" s="93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3"/>
    </row>
  </sheetData>
  <sheetProtection sheet="1" formatCells="0" formatColumns="0" formatRows="0" sort="0" autoFilter="0"/>
  <dataConsolidate/>
  <conditionalFormatting sqref="H53">
    <cfRule type="cellIs" dxfId="11" priority="4" stopIfTrue="1" operator="greaterThan">
      <formula>0</formula>
    </cfRule>
  </conditionalFormatting>
  <conditionalFormatting sqref="H62">
    <cfRule type="cellIs" dxfId="10" priority="5" stopIfTrue="1" operator="greaterThan">
      <formula>0</formula>
    </cfRule>
  </conditionalFormatting>
  <conditionalFormatting sqref="A4:AO4 AQ4 AS4:XFD4">
    <cfRule type="expression" dxfId="9" priority="3">
      <formula>LEFT($A$4,1) &lt;&gt; "0"</formula>
    </cfRule>
  </conditionalFormatting>
  <conditionalFormatting sqref="AP4">
    <cfRule type="expression" dxfId="8" priority="2">
      <formula>LEFT($A$4,1) &lt;&gt; "0"</formula>
    </cfRule>
  </conditionalFormatting>
  <conditionalFormatting sqref="AR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EDCM discounts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64" t="str">
        <f>H113 &amp; IF(H113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6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279</v>
      </c>
      <c r="K5" s="90" t="s">
        <v>293</v>
      </c>
      <c r="L5" s="90" t="s">
        <v>294</v>
      </c>
      <c r="M5" s="90" t="s">
        <v>280</v>
      </c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721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323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445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 t="s">
        <v>446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39"/>
    </row>
    <row r="16" spans="1:16" x14ac:dyDescent="0.25">
      <c r="A16" s="39"/>
      <c r="B16" s="39"/>
      <c r="C16" s="96" t="s">
        <v>658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6"/>
    </row>
    <row r="17" spans="1:15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39"/>
      <c r="E18" s="98" t="str">
        <f>'Rev allocation'!E177</f>
        <v>Allocation (EDCM), by network level (re-ordered)</v>
      </c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39"/>
      <c r="C19" s="39"/>
      <c r="D19" s="39"/>
      <c r="E19" s="39"/>
      <c r="F19" s="99" t="str">
        <f>'Rev allocation'!F178</f>
        <v>132kV</v>
      </c>
      <c r="G19" s="99" t="str">
        <f>'Rev allocation'!G178</f>
        <v>%</v>
      </c>
      <c r="H19" s="149">
        <f>'Rev allocation'!H178</f>
        <v>0.23271341514925839</v>
      </c>
      <c r="I19" s="115"/>
      <c r="J19" s="115"/>
      <c r="K19" s="115"/>
      <c r="L19" s="115"/>
      <c r="M19" s="115"/>
      <c r="N19" s="65"/>
      <c r="O19" s="39"/>
    </row>
    <row r="20" spans="1:15" x14ac:dyDescent="0.25">
      <c r="A20" s="39"/>
      <c r="B20" s="39"/>
      <c r="C20" s="39"/>
      <c r="D20" s="39"/>
      <c r="E20" s="39"/>
      <c r="F20" s="101" t="str">
        <f>'Rev allocation'!F179</f>
        <v>132kV/EHV</v>
      </c>
      <c r="G20" s="101" t="str">
        <f>'Rev allocation'!G179</f>
        <v>%</v>
      </c>
      <c r="H20" s="146">
        <f>'Rev allocation'!H179</f>
        <v>3.7392555288002324E-2</v>
      </c>
      <c r="I20" s="115"/>
      <c r="J20" s="115"/>
      <c r="K20" s="115"/>
      <c r="L20" s="115"/>
      <c r="M20" s="115"/>
      <c r="N20" s="65"/>
      <c r="O20" s="39"/>
    </row>
    <row r="21" spans="1:15" x14ac:dyDescent="0.25">
      <c r="A21" s="39"/>
      <c r="B21" s="39"/>
      <c r="C21" s="39"/>
      <c r="D21" s="39"/>
      <c r="E21" s="39"/>
      <c r="F21" s="101" t="str">
        <f>'Rev allocation'!F180</f>
        <v>EHV</v>
      </c>
      <c r="G21" s="101" t="str">
        <f>'Rev allocation'!G180</f>
        <v>%</v>
      </c>
      <c r="H21" s="146">
        <f>'Rev allocation'!H180</f>
        <v>1.9500631179365499E-2</v>
      </c>
      <c r="I21" s="115"/>
      <c r="J21" s="115"/>
      <c r="K21" s="115"/>
      <c r="L21" s="115"/>
      <c r="M21" s="115"/>
      <c r="N21" s="65"/>
      <c r="O21" s="39"/>
    </row>
    <row r="22" spans="1:15" x14ac:dyDescent="0.25">
      <c r="A22" s="39"/>
      <c r="B22" s="39"/>
      <c r="C22" s="39"/>
      <c r="D22" s="39"/>
      <c r="E22" s="39"/>
      <c r="F22" s="101" t="str">
        <f>'Rev allocation'!F181</f>
        <v>EHV/HV</v>
      </c>
      <c r="G22" s="101" t="str">
        <f>'Rev allocation'!G181</f>
        <v>%</v>
      </c>
      <c r="H22" s="146">
        <f>'Rev allocation'!H181</f>
        <v>7.1756381710575176E-2</v>
      </c>
      <c r="I22" s="115"/>
      <c r="J22" s="115"/>
      <c r="K22" s="115"/>
      <c r="L22" s="115"/>
      <c r="M22" s="115"/>
      <c r="N22" s="65"/>
      <c r="O22" s="39"/>
    </row>
    <row r="23" spans="1:15" x14ac:dyDescent="0.25">
      <c r="A23" s="39"/>
      <c r="B23" s="39"/>
      <c r="C23" s="39"/>
      <c r="D23" s="39"/>
      <c r="E23" s="39"/>
      <c r="F23" s="101" t="str">
        <f>'Rev allocation'!F182</f>
        <v>HV</v>
      </c>
      <c r="G23" s="101" t="str">
        <f>'Rev allocation'!G182</f>
        <v>%</v>
      </c>
      <c r="H23" s="146">
        <f>'Rev allocation'!H182</f>
        <v>0.16207344070044638</v>
      </c>
      <c r="I23" s="115"/>
      <c r="J23" s="115"/>
      <c r="K23" s="115"/>
      <c r="L23" s="115"/>
      <c r="M23" s="115"/>
      <c r="N23" s="65"/>
      <c r="O23" s="39"/>
    </row>
    <row r="24" spans="1:15" x14ac:dyDescent="0.25">
      <c r="A24" s="39"/>
      <c r="B24" s="39"/>
      <c r="C24" s="39"/>
      <c r="D24" s="39"/>
      <c r="E24" s="39"/>
      <c r="F24" s="101" t="str">
        <f>'Rev allocation'!F183</f>
        <v>HV/LV</v>
      </c>
      <c r="G24" s="101" t="str">
        <f>'Rev allocation'!G183</f>
        <v>%</v>
      </c>
      <c r="H24" s="146">
        <f>'Rev allocation'!H183</f>
        <v>7.8100692632656371E-2</v>
      </c>
      <c r="I24" s="115"/>
      <c r="J24" s="115"/>
      <c r="K24" s="115"/>
      <c r="L24" s="115"/>
      <c r="M24" s="115"/>
      <c r="N24" s="65"/>
      <c r="O24" s="39"/>
    </row>
    <row r="25" spans="1:15" x14ac:dyDescent="0.25">
      <c r="A25" s="39"/>
      <c r="B25" s="39"/>
      <c r="C25" s="39"/>
      <c r="D25" s="39"/>
      <c r="E25" s="39"/>
      <c r="F25" s="103" t="str">
        <f>'Rev allocation'!F184</f>
        <v>LV</v>
      </c>
      <c r="G25" s="103" t="str">
        <f>'Rev allocation'!G184</f>
        <v>%</v>
      </c>
      <c r="H25" s="150">
        <f>'Rev allocation'!H184</f>
        <v>0.35520828838254714</v>
      </c>
      <c r="I25" s="115"/>
      <c r="J25" s="115"/>
      <c r="K25" s="115"/>
      <c r="L25" s="115"/>
      <c r="M25" s="115"/>
      <c r="N25" s="65"/>
      <c r="O25" s="39"/>
    </row>
    <row r="26" spans="1:15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39"/>
      <c r="B27" s="93" t="s">
        <v>352</v>
      </c>
      <c r="C27" s="93"/>
      <c r="D27" s="93"/>
      <c r="E27" s="93"/>
      <c r="F27" s="93"/>
      <c r="G27" s="93"/>
      <c r="H27" s="94"/>
      <c r="I27" s="94"/>
      <c r="J27" s="94"/>
      <c r="K27" s="94"/>
      <c r="L27" s="94"/>
      <c r="M27" s="94"/>
      <c r="N27" s="94"/>
      <c r="O27" s="93"/>
    </row>
    <row r="28" spans="1:15" x14ac:dyDescent="0.25">
      <c r="A28" s="39"/>
      <c r="B28" s="39"/>
      <c r="C28" s="39"/>
      <c r="D28" s="39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5" t="s">
        <v>447</v>
      </c>
      <c r="D29" s="95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448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649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449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450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1"/>
      <c r="B37" s="39"/>
      <c r="C37" s="39"/>
      <c r="D37" s="95"/>
      <c r="E37" s="98" t="str">
        <f>'Fixed inputs'!E398</f>
        <v>Network levels included in the calculation of "S", by user type and network level</v>
      </c>
      <c r="F37" s="39"/>
      <c r="G37" s="39"/>
      <c r="H37" s="65"/>
      <c r="I37" s="112"/>
      <c r="J37" s="65"/>
      <c r="K37" s="65"/>
      <c r="L37" s="65"/>
      <c r="M37" s="65"/>
      <c r="N37" s="65"/>
      <c r="O37" s="101"/>
    </row>
    <row r="38" spans="1:15" x14ac:dyDescent="0.25">
      <c r="A38" s="39"/>
      <c r="B38" s="39"/>
      <c r="C38" s="39"/>
      <c r="D38" s="39"/>
      <c r="E38" s="39"/>
      <c r="F38" s="99" t="str">
        <f>'Fixed inputs'!F399</f>
        <v>132kV</v>
      </c>
      <c r="G38" s="99" t="str">
        <f>'Fixed inputs'!G399</f>
        <v>flag</v>
      </c>
      <c r="H38" s="118"/>
      <c r="I38" s="118"/>
      <c r="J38" s="178">
        <f>'Fixed inputs'!J399</f>
        <v>1</v>
      </c>
      <c r="K38" s="178">
        <f>'Fixed inputs'!K399</f>
        <v>1</v>
      </c>
      <c r="L38" s="178">
        <f>'Fixed inputs'!L399</f>
        <v>1</v>
      </c>
      <c r="M38" s="178">
        <f>'Fixed inputs'!M399</f>
        <v>1</v>
      </c>
      <c r="N38" s="65"/>
      <c r="O38" s="39"/>
    </row>
    <row r="39" spans="1:15" x14ac:dyDescent="0.25">
      <c r="A39" s="39"/>
      <c r="B39" s="39"/>
      <c r="C39" s="39"/>
      <c r="D39" s="39"/>
      <c r="E39" s="39"/>
      <c r="F39" s="101" t="str">
        <f>'Fixed inputs'!F400</f>
        <v>132kV/EHV</v>
      </c>
      <c r="G39" s="101" t="str">
        <f>'Fixed inputs'!G400</f>
        <v>flag</v>
      </c>
      <c r="H39" s="116"/>
      <c r="I39" s="116"/>
      <c r="J39" s="176">
        <f>'Fixed inputs'!J400</f>
        <v>1</v>
      </c>
      <c r="K39" s="176">
        <f>'Fixed inputs'!K400</f>
        <v>1</v>
      </c>
      <c r="L39" s="176">
        <f>'Fixed inputs'!L400</f>
        <v>1</v>
      </c>
      <c r="M39" s="176">
        <f>'Fixed inputs'!M400</f>
        <v>1</v>
      </c>
      <c r="N39" s="65"/>
      <c r="O39" s="39"/>
    </row>
    <row r="40" spans="1:15" x14ac:dyDescent="0.25">
      <c r="A40" s="39"/>
      <c r="B40" s="39"/>
      <c r="C40" s="39"/>
      <c r="D40" s="39"/>
      <c r="E40" s="39"/>
      <c r="F40" s="101" t="str">
        <f>'Fixed inputs'!F401</f>
        <v>EHV</v>
      </c>
      <c r="G40" s="101" t="str">
        <f>'Fixed inputs'!G401</f>
        <v>flag</v>
      </c>
      <c r="H40" s="116"/>
      <c r="I40" s="116"/>
      <c r="J40" s="176">
        <f>'Fixed inputs'!J401</f>
        <v>1</v>
      </c>
      <c r="K40" s="176">
        <f>'Fixed inputs'!K401</f>
        <v>1</v>
      </c>
      <c r="L40" s="176">
        <f>'Fixed inputs'!L401</f>
        <v>1</v>
      </c>
      <c r="M40" s="176">
        <f>'Fixed inputs'!M401</f>
        <v>1</v>
      </c>
      <c r="N40" s="65"/>
      <c r="O40" s="39"/>
    </row>
    <row r="41" spans="1:15" x14ac:dyDescent="0.25">
      <c r="A41" s="39"/>
      <c r="B41" s="39"/>
      <c r="C41" s="39"/>
      <c r="D41" s="39"/>
      <c r="E41" s="39"/>
      <c r="F41" s="101" t="str">
        <f>'Fixed inputs'!F402</f>
        <v>EHV/HV</v>
      </c>
      <c r="G41" s="101" t="str">
        <f>'Fixed inputs'!G402</f>
        <v>flag</v>
      </c>
      <c r="H41" s="116"/>
      <c r="I41" s="116"/>
      <c r="J41" s="176">
        <f>'Fixed inputs'!J402</f>
        <v>1</v>
      </c>
      <c r="K41" s="176">
        <f>'Fixed inputs'!K402</f>
        <v>1</v>
      </c>
      <c r="L41" s="176">
        <f>'Fixed inputs'!L402</f>
        <v>1</v>
      </c>
      <c r="M41" s="176">
        <f>'Fixed inputs'!M402</f>
        <v>1</v>
      </c>
      <c r="N41" s="65"/>
      <c r="O41" s="39"/>
    </row>
    <row r="42" spans="1:15" x14ac:dyDescent="0.25">
      <c r="A42" s="39"/>
      <c r="B42" s="39"/>
      <c r="C42" s="39"/>
      <c r="D42" s="39"/>
      <c r="E42" s="39"/>
      <c r="F42" s="101" t="str">
        <f>'Fixed inputs'!F403</f>
        <v>HV</v>
      </c>
      <c r="G42" s="101" t="str">
        <f>'Fixed inputs'!G403</f>
        <v>flag</v>
      </c>
      <c r="H42" s="116"/>
      <c r="I42" s="116"/>
      <c r="J42" s="176">
        <f>'Fixed inputs'!J403</f>
        <v>1</v>
      </c>
      <c r="K42" s="176">
        <f>'Fixed inputs'!K403</f>
        <v>1</v>
      </c>
      <c r="L42" s="176">
        <f>'Fixed inputs'!L403</f>
        <v>1</v>
      </c>
      <c r="M42" s="119"/>
      <c r="N42" s="65"/>
      <c r="O42" s="39"/>
    </row>
    <row r="43" spans="1:15" x14ac:dyDescent="0.25">
      <c r="A43" s="39"/>
      <c r="B43" s="39"/>
      <c r="C43" s="39"/>
      <c r="D43" s="39"/>
      <c r="E43" s="39"/>
      <c r="F43" s="101" t="str">
        <f>'Fixed inputs'!F404</f>
        <v>HV/LV</v>
      </c>
      <c r="G43" s="101" t="str">
        <f>'Fixed inputs'!G404</f>
        <v>flag</v>
      </c>
      <c r="H43" s="116"/>
      <c r="I43" s="116"/>
      <c r="J43" s="176">
        <f>'Fixed inputs'!J404</f>
        <v>1</v>
      </c>
      <c r="K43" s="176">
        <f>'Fixed inputs'!K404</f>
        <v>1</v>
      </c>
      <c r="L43" s="119"/>
      <c r="M43" s="119"/>
      <c r="N43" s="65"/>
      <c r="O43" s="39"/>
    </row>
    <row r="44" spans="1:15" x14ac:dyDescent="0.25">
      <c r="A44" s="39"/>
      <c r="B44" s="39"/>
      <c r="C44" s="39"/>
      <c r="D44" s="39"/>
      <c r="E44" s="39"/>
      <c r="F44" s="103" t="str">
        <f>'Fixed inputs'!F405</f>
        <v>LV</v>
      </c>
      <c r="G44" s="103" t="str">
        <f>'Fixed inputs'!G405</f>
        <v>flag</v>
      </c>
      <c r="H44" s="120"/>
      <c r="I44" s="121"/>
      <c r="J44" s="179">
        <f>'Fixed inputs'!J405</f>
        <v>1</v>
      </c>
      <c r="K44" s="122"/>
      <c r="L44" s="122"/>
      <c r="M44" s="122"/>
      <c r="N44" s="65"/>
      <c r="O44" s="39"/>
    </row>
    <row r="45" spans="1:15" x14ac:dyDescent="0.25">
      <c r="A45" s="39"/>
      <c r="B45" s="39"/>
      <c r="C45" s="39"/>
      <c r="D45" s="39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101"/>
      <c r="B46" s="39"/>
      <c r="C46" s="39"/>
      <c r="D46" s="39"/>
      <c r="E46" s="101" t="s">
        <v>321</v>
      </c>
      <c r="F46" s="39"/>
      <c r="G46" s="101" t="s">
        <v>44</v>
      </c>
      <c r="H46" s="115"/>
      <c r="I46" s="111" t="s">
        <v>314</v>
      </c>
      <c r="J46" s="154">
        <f>SUMPRODUCT($H19:$H25, J38:J44)</f>
        <v>0.95674540504285133</v>
      </c>
      <c r="K46" s="154">
        <f>SUMPRODUCT($H19:$H25, K38:K44)</f>
        <v>0.60153711666030418</v>
      </c>
      <c r="L46" s="154">
        <f>SUMPRODUCT($H19:$H25, L38:L44)</f>
        <v>0.52343642402764778</v>
      </c>
      <c r="M46" s="154">
        <f>SUMPRODUCT($H19:$H25, M38:M44)</f>
        <v>0.3613629833272014</v>
      </c>
      <c r="N46" s="65"/>
      <c r="O46" s="101" t="s">
        <v>566</v>
      </c>
    </row>
    <row r="47" spans="1:15" x14ac:dyDescent="0.25">
      <c r="A47" s="39"/>
      <c r="B47" s="39"/>
      <c r="C47" s="39"/>
      <c r="D47" s="39"/>
      <c r="E47" s="101" t="s">
        <v>532</v>
      </c>
      <c r="F47" s="39"/>
      <c r="G47" s="101" t="s">
        <v>470</v>
      </c>
      <c r="H47" s="110"/>
      <c r="I47" s="110"/>
      <c r="J47" s="161" t="b">
        <f>J46 &gt; 0</f>
        <v>1</v>
      </c>
      <c r="K47" s="161" t="b">
        <f>K46 &gt; 0</f>
        <v>1</v>
      </c>
      <c r="L47" s="161" t="b">
        <f>L46 &gt; 0</f>
        <v>1</v>
      </c>
      <c r="M47" s="161" t="b">
        <f>M46 &gt; 0</f>
        <v>1</v>
      </c>
      <c r="N47" s="65"/>
      <c r="O47" s="39"/>
    </row>
    <row r="48" spans="1:15" x14ac:dyDescent="0.25">
      <c r="A48" s="39"/>
      <c r="B48" s="39"/>
      <c r="C48" s="39"/>
      <c r="D48" s="39"/>
      <c r="E48" s="101" t="s">
        <v>498</v>
      </c>
      <c r="F48" s="39"/>
      <c r="G48" s="101" t="s">
        <v>231</v>
      </c>
      <c r="H48" s="116">
        <f>COUNTIF(J47:M47, "=FALSE")</f>
        <v>0</v>
      </c>
      <c r="I48" s="116"/>
      <c r="J48" s="116"/>
      <c r="K48" s="116"/>
      <c r="L48" s="116"/>
      <c r="M48" s="116"/>
      <c r="N48" s="65"/>
      <c r="O48" s="39"/>
    </row>
    <row r="49" spans="1:15" x14ac:dyDescent="0.25">
      <c r="A49" s="39"/>
      <c r="B49" s="39"/>
      <c r="C49" s="39"/>
      <c r="D49" s="39"/>
      <c r="E49" s="95"/>
      <c r="F49" s="39"/>
      <c r="G49" s="39"/>
      <c r="H49" s="65"/>
      <c r="I49" s="65"/>
      <c r="J49" s="65"/>
      <c r="K49" s="65"/>
      <c r="L49" s="65"/>
      <c r="M49" s="65"/>
      <c r="N49" s="65"/>
      <c r="O49" s="39"/>
    </row>
    <row r="50" spans="1:15" x14ac:dyDescent="0.25">
      <c r="A50" s="39"/>
      <c r="B50" s="39"/>
      <c r="C50" s="96" t="s">
        <v>650</v>
      </c>
      <c r="D50" s="96"/>
      <c r="E50" s="96"/>
      <c r="F50" s="96"/>
      <c r="G50" s="96"/>
      <c r="H50" s="97"/>
      <c r="I50" s="97"/>
      <c r="J50" s="97"/>
      <c r="K50" s="97"/>
      <c r="L50" s="97"/>
      <c r="M50" s="97"/>
      <c r="N50" s="97"/>
      <c r="O50" s="96"/>
    </row>
    <row r="51" spans="1:15" x14ac:dyDescent="0.25">
      <c r="A51" s="39"/>
      <c r="B51" s="39"/>
      <c r="C51" s="95"/>
      <c r="D51" s="95"/>
      <c r="E51" s="39"/>
      <c r="F51" s="39"/>
      <c r="G51" s="39"/>
      <c r="H51" s="65"/>
      <c r="I51" s="65"/>
      <c r="J51" s="65"/>
      <c r="K51" s="65"/>
      <c r="L51" s="65"/>
      <c r="M51" s="65"/>
      <c r="N51" s="65"/>
      <c r="O51" s="39"/>
    </row>
    <row r="52" spans="1:15" x14ac:dyDescent="0.25">
      <c r="A52" s="39"/>
      <c r="B52" s="39"/>
      <c r="C52" s="39"/>
      <c r="D52" s="95" t="s">
        <v>451</v>
      </c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452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101"/>
      <c r="B55" s="39"/>
      <c r="C55" s="39"/>
      <c r="D55" s="95"/>
      <c r="E55" s="98" t="s">
        <v>353</v>
      </c>
      <c r="F55" s="39"/>
      <c r="G55" s="39"/>
      <c r="H55" s="65"/>
      <c r="I55" s="112" t="s">
        <v>314</v>
      </c>
      <c r="J55" s="65"/>
      <c r="K55" s="65"/>
      <c r="L55" s="65"/>
      <c r="M55" s="65"/>
      <c r="N55" s="65"/>
      <c r="O55" s="101" t="s">
        <v>566</v>
      </c>
    </row>
    <row r="56" spans="1:15" x14ac:dyDescent="0.25">
      <c r="A56" s="39"/>
      <c r="B56" s="39"/>
      <c r="C56" s="39"/>
      <c r="D56" s="39"/>
      <c r="E56" s="39"/>
      <c r="F56" s="99" t="s">
        <v>296</v>
      </c>
      <c r="G56" s="99" t="s">
        <v>44</v>
      </c>
      <c r="H56" s="129"/>
      <c r="I56" s="129"/>
      <c r="J56" s="157">
        <f>SUMPRODUCT($H19:$H$25, J38:J$44)</f>
        <v>0.95674540504285133</v>
      </c>
      <c r="K56" s="157">
        <f>SUMPRODUCT($H19:$H$25, K38:K$44)</f>
        <v>0.60153711666030418</v>
      </c>
      <c r="L56" s="157">
        <f>SUMPRODUCT($H19:$H$25, L38:L$44)</f>
        <v>0.52343642402764778</v>
      </c>
      <c r="M56" s="157">
        <f>SUMPRODUCT($H19:$H$25, M38:M$44)</f>
        <v>0.3613629833272014</v>
      </c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297</v>
      </c>
      <c r="G57" s="101" t="s">
        <v>44</v>
      </c>
      <c r="H57" s="115"/>
      <c r="I57" s="115"/>
      <c r="J57" s="154">
        <f>SUMPRODUCT($H20:$H$25, J39:J$44)</f>
        <v>0.72403198989359285</v>
      </c>
      <c r="K57" s="154">
        <f>SUMPRODUCT($H20:$H$25, K39:K$44)</f>
        <v>0.36882370151104571</v>
      </c>
      <c r="L57" s="154">
        <f>SUMPRODUCT($H20:$H$25, L39:L$44)</f>
        <v>0.29072300887838937</v>
      </c>
      <c r="M57" s="154">
        <f>SUMPRODUCT($H20:$H$25, M39:M$44)</f>
        <v>0.12864956817794299</v>
      </c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298</v>
      </c>
      <c r="G58" s="101" t="s">
        <v>44</v>
      </c>
      <c r="H58" s="115"/>
      <c r="I58" s="115"/>
      <c r="J58" s="154">
        <f>SUMPRODUCT($H21:$H$25, J40:J$44)</f>
        <v>0.68663943460559063</v>
      </c>
      <c r="K58" s="154">
        <f>SUMPRODUCT($H21:$H$25, K40:K$44)</f>
        <v>0.33143114622304348</v>
      </c>
      <c r="L58" s="154">
        <f>SUMPRODUCT($H21:$H$25, L40:L$44)</f>
        <v>0.25333045359038708</v>
      </c>
      <c r="M58" s="154">
        <f>SUMPRODUCT($H21:$H$25, M40:M$44)</f>
        <v>9.1257012889940675E-2</v>
      </c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299</v>
      </c>
      <c r="G59" s="101" t="s">
        <v>44</v>
      </c>
      <c r="H59" s="115"/>
      <c r="I59" s="115"/>
      <c r="J59" s="154">
        <f>SUMPRODUCT($H22:$H$25, J41:J$44)</f>
        <v>0.66713880342622511</v>
      </c>
      <c r="K59" s="154">
        <f>SUMPRODUCT($H22:$H$25, K41:K$44)</f>
        <v>0.31193051504367797</v>
      </c>
      <c r="L59" s="154">
        <f>SUMPRODUCT($H22:$H$25, L41:L$44)</f>
        <v>0.23382982241102157</v>
      </c>
      <c r="M59" s="154">
        <f>SUMPRODUCT($H22:$H$25, M41:M$44)</f>
        <v>7.1756381710575176E-2</v>
      </c>
      <c r="N59" s="65"/>
      <c r="O59" s="39"/>
    </row>
    <row r="60" spans="1:15" x14ac:dyDescent="0.25">
      <c r="A60" s="39"/>
      <c r="B60" s="39"/>
      <c r="C60" s="39"/>
      <c r="D60" s="39"/>
      <c r="E60" s="39"/>
      <c r="F60" s="103" t="s">
        <v>300</v>
      </c>
      <c r="G60" s="103" t="s">
        <v>44</v>
      </c>
      <c r="H60" s="130"/>
      <c r="I60" s="131"/>
      <c r="J60" s="168">
        <f>SUMPRODUCT($H23:$H$25, J42:J$44)</f>
        <v>0.59538242171564992</v>
      </c>
      <c r="K60" s="168">
        <f>SUMPRODUCT($H23:$H$25, K42:K$44)</f>
        <v>0.24017413333310275</v>
      </c>
      <c r="L60" s="168">
        <f>SUMPRODUCT($H23:$H$25, L42:L$44)</f>
        <v>0.16207344070044638</v>
      </c>
      <c r="M60" s="168">
        <f>SUMPRODUCT($H23:$H$25, M42:M$44)</f>
        <v>0</v>
      </c>
      <c r="N60" s="65"/>
      <c r="O60" s="39"/>
    </row>
    <row r="61" spans="1:15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651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522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 t="s">
        <v>523</v>
      </c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39"/>
      <c r="B66" s="39"/>
      <c r="C66" s="39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39"/>
    </row>
    <row r="67" spans="1:15" x14ac:dyDescent="0.25">
      <c r="A67" s="39"/>
      <c r="B67" s="39"/>
      <c r="C67" s="39"/>
      <c r="D67" s="39"/>
      <c r="E67" s="101" t="str">
        <f>'Fixed inputs'!E34</f>
        <v>Network length split for 132kV</v>
      </c>
      <c r="F67" s="39"/>
      <c r="G67" s="101" t="str">
        <f>'Fixed inputs'!G34</f>
        <v>%</v>
      </c>
      <c r="H67" s="146">
        <f>'Fixed inputs'!H34</f>
        <v>1</v>
      </c>
      <c r="I67" s="115"/>
      <c r="J67" s="115"/>
      <c r="K67" s="115"/>
      <c r="L67" s="115"/>
      <c r="M67" s="115"/>
      <c r="N67" s="65"/>
      <c r="O67" s="39"/>
    </row>
    <row r="68" spans="1:15" x14ac:dyDescent="0.25">
      <c r="A68" s="39"/>
      <c r="B68" s="39"/>
      <c r="C68" s="39"/>
      <c r="D68" s="39"/>
      <c r="E68" s="101" t="str">
        <f>'Fixed inputs'!E35</f>
        <v>Network length split for EHV</v>
      </c>
      <c r="F68" s="39"/>
      <c r="G68" s="101" t="str">
        <f>'Fixed inputs'!G35</f>
        <v>%</v>
      </c>
      <c r="H68" s="146">
        <f>'Fixed inputs'!H35</f>
        <v>1</v>
      </c>
      <c r="I68" s="115"/>
      <c r="J68" s="115"/>
      <c r="K68" s="115"/>
      <c r="L68" s="115"/>
      <c r="M68" s="115"/>
      <c r="N68" s="65"/>
      <c r="O68" s="39"/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39"/>
      <c r="C70" s="39"/>
      <c r="D70" s="39"/>
      <c r="E70" s="101" t="str">
        <f>Direct!F$56</f>
        <v>EHV and 132kV direct proportion</v>
      </c>
      <c r="F70" s="39"/>
      <c r="G70" s="101" t="str">
        <f>Direct!G$56</f>
        <v>%</v>
      </c>
      <c r="H70" s="146">
        <f>Direct!H$56</f>
        <v>0.69639505721598816</v>
      </c>
      <c r="I70" s="115"/>
      <c r="J70" s="115"/>
      <c r="K70" s="115"/>
      <c r="L70" s="115"/>
      <c r="M70" s="115"/>
      <c r="N70" s="65"/>
      <c r="O70" s="39"/>
    </row>
    <row r="71" spans="1:15" x14ac:dyDescent="0.25">
      <c r="A71" s="39"/>
      <c r="B71" s="39"/>
      <c r="C71" s="39"/>
      <c r="D71" s="39"/>
      <c r="E71" s="95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39"/>
      <c r="D72" s="39"/>
      <c r="E72" s="98" t="s">
        <v>521</v>
      </c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39"/>
      <c r="D73" s="39"/>
      <c r="E73" s="39"/>
      <c r="F73" s="99" t="s">
        <v>296</v>
      </c>
      <c r="G73" s="99" t="s">
        <v>44</v>
      </c>
      <c r="H73" s="158"/>
      <c r="I73" s="115"/>
      <c r="J73" s="115"/>
      <c r="K73" s="115"/>
      <c r="L73" s="115"/>
      <c r="M73" s="115"/>
      <c r="N73" s="65"/>
      <c r="O73" s="39"/>
    </row>
    <row r="74" spans="1:15" x14ac:dyDescent="0.25">
      <c r="A74" s="101"/>
      <c r="B74" s="39"/>
      <c r="C74" s="39"/>
      <c r="D74" s="39"/>
      <c r="E74" s="39"/>
      <c r="F74" s="101" t="s">
        <v>297</v>
      </c>
      <c r="G74" s="101" t="s">
        <v>44</v>
      </c>
      <c r="H74" s="115">
        <f>H19 * (1 - H67 * H70)</f>
        <v>7.0652943091462583E-2</v>
      </c>
      <c r="I74" s="111" t="s">
        <v>314</v>
      </c>
      <c r="J74" s="115"/>
      <c r="K74" s="115"/>
      <c r="L74" s="115"/>
      <c r="M74" s="115"/>
      <c r="N74" s="65"/>
      <c r="O74" s="101" t="s">
        <v>566</v>
      </c>
    </row>
    <row r="75" spans="1:15" x14ac:dyDescent="0.25">
      <c r="A75" s="39"/>
      <c r="B75" s="39"/>
      <c r="C75" s="39"/>
      <c r="D75" s="39"/>
      <c r="E75" s="39"/>
      <c r="F75" s="101" t="s">
        <v>298</v>
      </c>
      <c r="G75" s="101" t="s">
        <v>44</v>
      </c>
      <c r="H75" s="159"/>
      <c r="I75" s="115"/>
      <c r="J75" s="115"/>
      <c r="K75" s="115"/>
      <c r="L75" s="115"/>
      <c r="M75" s="115"/>
      <c r="N75" s="65"/>
      <c r="O75" s="39"/>
    </row>
    <row r="76" spans="1:15" x14ac:dyDescent="0.25">
      <c r="A76" s="101"/>
      <c r="B76" s="39"/>
      <c r="C76" s="39"/>
      <c r="D76" s="39"/>
      <c r="E76" s="39"/>
      <c r="F76" s="101" t="s">
        <v>299</v>
      </c>
      <c r="G76" s="101" t="s">
        <v>44</v>
      </c>
      <c r="H76" s="115">
        <f>H21 * (1 - H68* H70)</f>
        <v>5.9204880134633795E-3</v>
      </c>
      <c r="I76" s="111" t="s">
        <v>314</v>
      </c>
      <c r="J76" s="115"/>
      <c r="K76" s="115"/>
      <c r="L76" s="115"/>
      <c r="M76" s="115"/>
      <c r="N76" s="65"/>
      <c r="O76" s="101" t="s">
        <v>566</v>
      </c>
    </row>
    <row r="77" spans="1:15" x14ac:dyDescent="0.25">
      <c r="A77" s="39"/>
      <c r="B77" s="39"/>
      <c r="C77" s="39"/>
      <c r="D77" s="39"/>
      <c r="E77" s="39"/>
      <c r="F77" s="103" t="s">
        <v>300</v>
      </c>
      <c r="G77" s="103" t="s">
        <v>44</v>
      </c>
      <c r="H77" s="180"/>
      <c r="I77" s="115"/>
      <c r="J77" s="115"/>
      <c r="K77" s="115"/>
      <c r="L77" s="115"/>
      <c r="M77" s="115"/>
      <c r="N77" s="65"/>
      <c r="O77" s="39"/>
    </row>
    <row r="78" spans="1:15" x14ac:dyDescent="0.25">
      <c r="A78" s="39"/>
      <c r="B78" s="39"/>
      <c r="C78" s="39"/>
      <c r="D78" s="39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39"/>
      <c r="B79" s="39"/>
      <c r="C79" s="96" t="s">
        <v>652</v>
      </c>
      <c r="D79" s="96"/>
      <c r="E79" s="96"/>
      <c r="F79" s="96"/>
      <c r="G79" s="96"/>
      <c r="H79" s="97"/>
      <c r="I79" s="97"/>
      <c r="J79" s="97"/>
      <c r="K79" s="97"/>
      <c r="L79" s="97"/>
      <c r="M79" s="97"/>
      <c r="N79" s="97"/>
      <c r="O79" s="96"/>
    </row>
    <row r="80" spans="1:15" x14ac:dyDescent="0.25">
      <c r="A80" s="39"/>
      <c r="B80" s="39"/>
      <c r="C80" s="95"/>
      <c r="D80" s="95"/>
      <c r="E80" s="39"/>
      <c r="F80" s="39"/>
      <c r="G80" s="39"/>
      <c r="H80" s="65"/>
      <c r="I80" s="65"/>
      <c r="J80" s="65"/>
      <c r="K80" s="65"/>
      <c r="L80" s="65"/>
      <c r="M80" s="65"/>
      <c r="N80" s="65"/>
      <c r="O80" s="39"/>
    </row>
    <row r="81" spans="1:15" x14ac:dyDescent="0.25">
      <c r="A81" s="39"/>
      <c r="B81" s="39"/>
      <c r="C81" s="39"/>
      <c r="D81" s="95" t="s">
        <v>340</v>
      </c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39"/>
    </row>
    <row r="82" spans="1:15" x14ac:dyDescent="0.25">
      <c r="A82" s="39"/>
      <c r="B82" s="39"/>
      <c r="C82" s="39"/>
      <c r="D82" s="95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39"/>
    </row>
    <row r="83" spans="1:15" x14ac:dyDescent="0.25">
      <c r="A83" s="39"/>
      <c r="B83" s="39"/>
      <c r="C83" s="39"/>
      <c r="D83" s="39"/>
      <c r="E83" s="101" t="s">
        <v>413</v>
      </c>
      <c r="F83" s="39"/>
      <c r="G83" s="101" t="str">
        <f>'Rev allocation'!G149</f>
        <v>%</v>
      </c>
      <c r="H83" s="146">
        <f>'Rev allocation'!H158</f>
        <v>4.3254594957148895E-2</v>
      </c>
      <c r="I83" s="115"/>
      <c r="J83" s="115"/>
      <c r="K83" s="115"/>
      <c r="L83" s="115"/>
      <c r="M83" s="115"/>
      <c r="N83" s="65"/>
      <c r="O83" s="39"/>
    </row>
    <row r="84" spans="1:15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39"/>
    </row>
    <row r="85" spans="1:15" x14ac:dyDescent="0.25">
      <c r="A85" s="39"/>
      <c r="B85" s="39"/>
      <c r="C85" s="39"/>
      <c r="D85" s="39"/>
      <c r="E85" s="101" t="s">
        <v>534</v>
      </c>
      <c r="F85" s="39"/>
      <c r="G85" s="101" t="s">
        <v>231</v>
      </c>
      <c r="H85" s="116">
        <f>IF(SUM(H19:H25, H83) = 1, 0, 1)</f>
        <v>0</v>
      </c>
      <c r="I85" s="116"/>
      <c r="J85" s="116"/>
      <c r="K85" s="116"/>
      <c r="L85" s="116"/>
      <c r="M85" s="116"/>
      <c r="N85" s="65"/>
      <c r="O85" s="39"/>
    </row>
    <row r="86" spans="1:15" x14ac:dyDescent="0.25">
      <c r="A86" s="39"/>
      <c r="B86" s="39"/>
      <c r="C86" s="39"/>
      <c r="D86" s="39"/>
      <c r="E86" s="95"/>
      <c r="F86" s="39"/>
      <c r="G86" s="39"/>
      <c r="H86" s="65"/>
      <c r="I86" s="65"/>
      <c r="J86" s="65"/>
      <c r="K86" s="65"/>
      <c r="L86" s="65"/>
      <c r="M86" s="65"/>
      <c r="N86" s="65"/>
      <c r="O86" s="39"/>
    </row>
    <row r="87" spans="1:15" x14ac:dyDescent="0.25">
      <c r="A87" s="39"/>
      <c r="B87" s="93" t="s">
        <v>295</v>
      </c>
      <c r="C87" s="93"/>
      <c r="D87" s="93"/>
      <c r="E87" s="93"/>
      <c r="F87" s="93"/>
      <c r="G87" s="93"/>
      <c r="H87" s="94"/>
      <c r="I87" s="94"/>
      <c r="J87" s="94"/>
      <c r="K87" s="94"/>
      <c r="L87" s="94"/>
      <c r="M87" s="94"/>
      <c r="N87" s="94"/>
      <c r="O87" s="93"/>
    </row>
    <row r="88" spans="1:15" x14ac:dyDescent="0.25">
      <c r="A88" s="39"/>
      <c r="B88" s="39"/>
      <c r="C88" s="39"/>
      <c r="D88" s="39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39"/>
    </row>
    <row r="89" spans="1:15" x14ac:dyDescent="0.25">
      <c r="A89" s="39"/>
      <c r="B89" s="39"/>
      <c r="C89" s="95" t="s">
        <v>341</v>
      </c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5"/>
      <c r="D90" s="95"/>
      <c r="E90" s="39"/>
      <c r="F90" s="39"/>
      <c r="G90" s="39"/>
      <c r="H90" s="65"/>
      <c r="I90" s="65"/>
      <c r="J90" s="65"/>
      <c r="K90" s="65"/>
      <c r="L90" s="65"/>
      <c r="M90" s="65"/>
      <c r="N90" s="65"/>
      <c r="O90" s="39"/>
    </row>
    <row r="91" spans="1:15" x14ac:dyDescent="0.25">
      <c r="A91" s="39"/>
      <c r="B91" s="39"/>
      <c r="C91" s="96" t="s">
        <v>653</v>
      </c>
      <c r="D91" s="96"/>
      <c r="E91" s="96"/>
      <c r="F91" s="96"/>
      <c r="G91" s="96"/>
      <c r="H91" s="97"/>
      <c r="I91" s="97"/>
      <c r="J91" s="97"/>
      <c r="K91" s="97"/>
      <c r="L91" s="97"/>
      <c r="M91" s="97"/>
      <c r="N91" s="97"/>
      <c r="O91" s="96"/>
    </row>
    <row r="92" spans="1:15" x14ac:dyDescent="0.25">
      <c r="A92" s="39"/>
      <c r="B92" s="39"/>
      <c r="C92" s="95"/>
      <c r="D92" s="95"/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101"/>
      <c r="B93" s="39"/>
      <c r="C93" s="39"/>
      <c r="D93" s="95"/>
      <c r="E93" s="98" t="s">
        <v>324</v>
      </c>
      <c r="F93" s="39"/>
      <c r="G93" s="39"/>
      <c r="H93" s="65"/>
      <c r="I93" s="112" t="s">
        <v>314</v>
      </c>
      <c r="J93" s="65"/>
      <c r="K93" s="65"/>
      <c r="L93" s="65"/>
      <c r="M93" s="65"/>
      <c r="N93" s="65"/>
      <c r="O93" s="101" t="s">
        <v>566</v>
      </c>
    </row>
    <row r="94" spans="1:15" x14ac:dyDescent="0.25">
      <c r="A94" s="39"/>
      <c r="B94" s="39"/>
      <c r="C94" s="39"/>
      <c r="D94" s="39"/>
      <c r="E94" s="39"/>
      <c r="F94" s="99" t="s">
        <v>326</v>
      </c>
      <c r="G94" s="99" t="s">
        <v>44</v>
      </c>
      <c r="H94" s="129"/>
      <c r="I94" s="129"/>
      <c r="J94" s="157">
        <f t="shared" ref="J94:M98" si="0">IF(J$47, (J56 + $H73) / (J$46 + $H$83), 0)</f>
        <v>0.9567454050428511</v>
      </c>
      <c r="K94" s="157">
        <f t="shared" si="0"/>
        <v>0.93291694949265835</v>
      </c>
      <c r="L94" s="157">
        <f t="shared" si="0"/>
        <v>0.92367164202701202</v>
      </c>
      <c r="M94" s="157">
        <f t="shared" si="0"/>
        <v>0.89309758824479157</v>
      </c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327</v>
      </c>
      <c r="G95" s="101" t="s">
        <v>44</v>
      </c>
      <c r="H95" s="115"/>
      <c r="I95" s="115"/>
      <c r="J95" s="154">
        <f t="shared" si="0"/>
        <v>0.79468493298505516</v>
      </c>
      <c r="K95" s="154">
        <f t="shared" si="0"/>
        <v>0.68157923975183532</v>
      </c>
      <c r="L95" s="154">
        <f t="shared" si="0"/>
        <v>0.63769486345000115</v>
      </c>
      <c r="M95" s="154">
        <f t="shared" si="0"/>
        <v>0.49257007595785451</v>
      </c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328</v>
      </c>
      <c r="G96" s="101" t="s">
        <v>44</v>
      </c>
      <c r="H96" s="115"/>
      <c r="I96" s="115"/>
      <c r="J96" s="154">
        <f t="shared" si="0"/>
        <v>0.68663943460559052</v>
      </c>
      <c r="K96" s="154">
        <f t="shared" si="0"/>
        <v>0.51401272729088288</v>
      </c>
      <c r="L96" s="154">
        <f t="shared" si="0"/>
        <v>0.44703453046462255</v>
      </c>
      <c r="M96" s="154">
        <f t="shared" si="0"/>
        <v>0.2255389231404292</v>
      </c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329</v>
      </c>
      <c r="G97" s="101" t="s">
        <v>44</v>
      </c>
      <c r="H97" s="115"/>
      <c r="I97" s="115"/>
      <c r="J97" s="154">
        <f t="shared" si="0"/>
        <v>0.67305929143968835</v>
      </c>
      <c r="K97" s="154">
        <f t="shared" si="0"/>
        <v>0.49295144048892248</v>
      </c>
      <c r="L97" s="154">
        <f t="shared" si="0"/>
        <v>0.42307060177870409</v>
      </c>
      <c r="M97" s="154">
        <f t="shared" si="0"/>
        <v>0.19197601363095038</v>
      </c>
      <c r="N97" s="65"/>
      <c r="O97" s="39"/>
    </row>
    <row r="98" spans="1:15" x14ac:dyDescent="0.25">
      <c r="A98" s="39"/>
      <c r="B98" s="39"/>
      <c r="C98" s="39"/>
      <c r="D98" s="39"/>
      <c r="E98" s="39"/>
      <c r="F98" s="103" t="s">
        <v>330</v>
      </c>
      <c r="G98" s="103" t="s">
        <v>44</v>
      </c>
      <c r="H98" s="130"/>
      <c r="I98" s="131"/>
      <c r="J98" s="168">
        <f t="shared" si="0"/>
        <v>0.59538242171564981</v>
      </c>
      <c r="K98" s="168">
        <f t="shared" si="0"/>
        <v>0.3724832825946669</v>
      </c>
      <c r="L98" s="168">
        <f t="shared" si="0"/>
        <v>0.28599966343351302</v>
      </c>
      <c r="M98" s="168">
        <f t="shared" si="0"/>
        <v>0</v>
      </c>
      <c r="N98" s="65"/>
      <c r="O98" s="39"/>
    </row>
    <row r="99" spans="1:15" x14ac:dyDescent="0.25">
      <c r="A99" s="39"/>
      <c r="B99" s="39"/>
      <c r="C99" s="39"/>
      <c r="D99" s="39"/>
      <c r="E99" s="39"/>
      <c r="F99" s="39"/>
      <c r="G99" s="39"/>
      <c r="H99" s="65"/>
      <c r="I99" s="65"/>
      <c r="J99" s="65"/>
      <c r="K99" s="65"/>
      <c r="L99" s="65"/>
      <c r="M99" s="65"/>
      <c r="N99" s="65"/>
      <c r="O99" s="39"/>
    </row>
    <row r="100" spans="1:15" x14ac:dyDescent="0.25">
      <c r="A100" s="39"/>
      <c r="B100" s="39"/>
      <c r="C100" s="96" t="s">
        <v>654</v>
      </c>
      <c r="D100" s="96"/>
      <c r="E100" s="96"/>
      <c r="F100" s="96"/>
      <c r="G100" s="96"/>
      <c r="H100" s="97"/>
      <c r="I100" s="97"/>
      <c r="J100" s="97"/>
      <c r="K100" s="97"/>
      <c r="L100" s="97"/>
      <c r="M100" s="97"/>
      <c r="N100" s="97"/>
      <c r="O100" s="96"/>
    </row>
    <row r="101" spans="1:15" x14ac:dyDescent="0.25">
      <c r="A101" s="39"/>
      <c r="B101" s="39"/>
      <c r="C101" s="95"/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39"/>
    </row>
    <row r="102" spans="1:15" x14ac:dyDescent="0.25">
      <c r="A102" s="39"/>
      <c r="B102" s="39"/>
      <c r="C102" s="39"/>
      <c r="D102" s="95"/>
      <c r="E102" s="101" t="str">
        <f>'Fixed inputs'!E$27</f>
        <v>EDCM discount cap</v>
      </c>
      <c r="F102" s="39"/>
      <c r="G102" s="101" t="str">
        <f>'Fixed inputs'!G$27</f>
        <v>%</v>
      </c>
      <c r="H102" s="146">
        <f>'Fixed inputs'!H$27</f>
        <v>1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39"/>
    </row>
    <row r="104" spans="1:15" x14ac:dyDescent="0.25">
      <c r="A104" s="101"/>
      <c r="B104" s="39"/>
      <c r="C104" s="39"/>
      <c r="D104" s="39"/>
      <c r="E104" s="98" t="s">
        <v>325</v>
      </c>
      <c r="F104" s="39"/>
      <c r="G104" s="39"/>
      <c r="H104" s="65"/>
      <c r="I104" s="112" t="s">
        <v>314</v>
      </c>
      <c r="J104" s="65"/>
      <c r="K104" s="65"/>
      <c r="L104" s="65"/>
      <c r="M104" s="65"/>
      <c r="N104" s="65"/>
      <c r="O104" s="101" t="s">
        <v>566</v>
      </c>
    </row>
    <row r="105" spans="1:15" x14ac:dyDescent="0.25">
      <c r="A105" s="39"/>
      <c r="B105" s="39"/>
      <c r="C105" s="39"/>
      <c r="D105" s="39"/>
      <c r="E105" s="39"/>
      <c r="F105" s="99" t="s">
        <v>326</v>
      </c>
      <c r="G105" s="99" t="s">
        <v>44</v>
      </c>
      <c r="H105" s="129"/>
      <c r="I105" s="129"/>
      <c r="J105" s="133">
        <f t="shared" ref="J105:M109" si="1">MIN($H$102, J94)</f>
        <v>0.9567454050428511</v>
      </c>
      <c r="K105" s="133">
        <f t="shared" si="1"/>
        <v>0.93291694949265835</v>
      </c>
      <c r="L105" s="133">
        <f t="shared" si="1"/>
        <v>0.92367164202701202</v>
      </c>
      <c r="M105" s="133">
        <f t="shared" si="1"/>
        <v>0.89309758824479157</v>
      </c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327</v>
      </c>
      <c r="G106" s="101" t="s">
        <v>44</v>
      </c>
      <c r="H106" s="115"/>
      <c r="I106" s="115"/>
      <c r="J106" s="134">
        <f t="shared" si="1"/>
        <v>0.79468493298505516</v>
      </c>
      <c r="K106" s="134">
        <f t="shared" si="1"/>
        <v>0.68157923975183532</v>
      </c>
      <c r="L106" s="134">
        <f t="shared" si="1"/>
        <v>0.63769486345000115</v>
      </c>
      <c r="M106" s="134">
        <f t="shared" si="1"/>
        <v>0.49257007595785451</v>
      </c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328</v>
      </c>
      <c r="G107" s="101" t="s">
        <v>44</v>
      </c>
      <c r="H107" s="115"/>
      <c r="I107" s="115"/>
      <c r="J107" s="134">
        <f t="shared" si="1"/>
        <v>0.68663943460559052</v>
      </c>
      <c r="K107" s="134">
        <f t="shared" si="1"/>
        <v>0.51401272729088288</v>
      </c>
      <c r="L107" s="134">
        <f t="shared" si="1"/>
        <v>0.44703453046462255</v>
      </c>
      <c r="M107" s="134">
        <f t="shared" si="1"/>
        <v>0.2255389231404292</v>
      </c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329</v>
      </c>
      <c r="G108" s="101" t="s">
        <v>44</v>
      </c>
      <c r="H108" s="115"/>
      <c r="I108" s="115"/>
      <c r="J108" s="134">
        <f t="shared" si="1"/>
        <v>0.67305929143968835</v>
      </c>
      <c r="K108" s="134">
        <f t="shared" si="1"/>
        <v>0.49295144048892248</v>
      </c>
      <c r="L108" s="134">
        <f t="shared" si="1"/>
        <v>0.42307060177870409</v>
      </c>
      <c r="M108" s="134">
        <f t="shared" si="1"/>
        <v>0.19197601363095038</v>
      </c>
      <c r="N108" s="65"/>
      <c r="O108" s="39"/>
    </row>
    <row r="109" spans="1:15" x14ac:dyDescent="0.25">
      <c r="A109" s="39"/>
      <c r="B109" s="39"/>
      <c r="C109" s="39"/>
      <c r="D109" s="39"/>
      <c r="E109" s="39"/>
      <c r="F109" s="103" t="s">
        <v>330</v>
      </c>
      <c r="G109" s="103" t="s">
        <v>44</v>
      </c>
      <c r="H109" s="130"/>
      <c r="I109" s="131"/>
      <c r="J109" s="167">
        <f t="shared" si="1"/>
        <v>0.59538242171564981</v>
      </c>
      <c r="K109" s="167">
        <f t="shared" si="1"/>
        <v>0.3724832825946669</v>
      </c>
      <c r="L109" s="167">
        <f t="shared" si="1"/>
        <v>0.28599966343351302</v>
      </c>
      <c r="M109" s="167">
        <f t="shared" si="1"/>
        <v>0</v>
      </c>
      <c r="N109" s="65"/>
      <c r="O109" s="39"/>
    </row>
    <row r="110" spans="1:15" x14ac:dyDescent="0.25">
      <c r="A110" s="39"/>
      <c r="B110" s="39"/>
      <c r="C110" s="39"/>
      <c r="D110" s="39"/>
      <c r="E110" s="39"/>
      <c r="F110" s="39"/>
      <c r="G110" s="39"/>
      <c r="H110" s="65"/>
      <c r="I110" s="65"/>
      <c r="J110" s="65"/>
      <c r="K110" s="65"/>
      <c r="L110" s="65"/>
      <c r="M110" s="65"/>
      <c r="N110" s="65"/>
      <c r="O110" s="39"/>
    </row>
    <row r="111" spans="1:15" x14ac:dyDescent="0.25">
      <c r="A111" s="39"/>
      <c r="B111" s="93" t="s">
        <v>242</v>
      </c>
      <c r="C111" s="93"/>
      <c r="D111" s="93"/>
      <c r="E111" s="93"/>
      <c r="F111" s="93"/>
      <c r="G111" s="93"/>
      <c r="H111" s="94"/>
      <c r="I111" s="94"/>
      <c r="J111" s="94"/>
      <c r="K111" s="94"/>
      <c r="L111" s="94"/>
      <c r="M111" s="94"/>
      <c r="N111" s="94"/>
      <c r="O111" s="93"/>
    </row>
    <row r="112" spans="1:15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39"/>
    </row>
    <row r="113" spans="1:15" x14ac:dyDescent="0.25">
      <c r="A113" s="39"/>
      <c r="B113" s="39"/>
      <c r="C113" s="95"/>
      <c r="D113" s="95"/>
      <c r="E113" s="101" t="s">
        <v>262</v>
      </c>
      <c r="F113" s="39"/>
      <c r="G113" s="101" t="s">
        <v>231</v>
      </c>
      <c r="H113" s="139">
        <f>H48 + H85</f>
        <v>0</v>
      </c>
      <c r="I113" s="116"/>
      <c r="J113" s="116"/>
      <c r="K113" s="116"/>
      <c r="L113" s="116"/>
      <c r="M113" s="116"/>
      <c r="N113" s="65"/>
      <c r="O113" s="39"/>
    </row>
    <row r="114" spans="1:15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39"/>
    </row>
    <row r="115" spans="1:15" x14ac:dyDescent="0.25">
      <c r="A115" s="39"/>
      <c r="B115" s="93" t="s">
        <v>30</v>
      </c>
      <c r="C115" s="93"/>
      <c r="D115" s="93"/>
      <c r="E115" s="93"/>
      <c r="F115" s="93"/>
      <c r="G115" s="93"/>
      <c r="H115" s="94"/>
      <c r="I115" s="94"/>
      <c r="J115" s="94"/>
      <c r="K115" s="94"/>
      <c r="L115" s="94"/>
      <c r="M115" s="94"/>
      <c r="N115" s="94"/>
      <c r="O115" s="93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18" sqref="H1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CDCM discounts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64" t="str">
        <f>H43 &amp; IF(H43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722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301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672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181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707</v>
      </c>
      <c r="D15" s="96"/>
      <c r="E15" s="96"/>
      <c r="F15" s="96"/>
      <c r="G15" s="96"/>
      <c r="H15" s="96"/>
      <c r="I15" s="96"/>
      <c r="J15" s="96"/>
    </row>
    <row r="16" spans="1:11" x14ac:dyDescent="0.25">
      <c r="A16" s="39"/>
      <c r="B16" s="39"/>
      <c r="C16" s="95"/>
      <c r="D16" s="181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39"/>
      <c r="D17" s="39"/>
      <c r="E17" s="105" t="s">
        <v>350</v>
      </c>
      <c r="F17" s="39"/>
      <c r="G17" s="39"/>
      <c r="H17" s="65"/>
      <c r="I17" s="65"/>
      <c r="J17" s="39"/>
    </row>
    <row r="18" spans="1:10" x14ac:dyDescent="0.25">
      <c r="A18" s="39"/>
      <c r="B18" s="39"/>
      <c r="C18" s="39"/>
      <c r="D18" s="39"/>
      <c r="E18" s="39"/>
      <c r="F18" s="184" t="str">
        <f>'Rev allocation'!J5</f>
        <v>LV services</v>
      </c>
      <c r="G18" s="99" t="str">
        <f>'Rev allocation'!G146</f>
        <v>%</v>
      </c>
      <c r="H18" s="149">
        <f>'Rev allocation'!J146</f>
        <v>0.15818145731799693</v>
      </c>
      <c r="I18" s="65"/>
      <c r="J18" s="39"/>
    </row>
    <row r="19" spans="1:10" x14ac:dyDescent="0.25">
      <c r="A19" s="39"/>
      <c r="B19" s="39"/>
      <c r="C19" s="39"/>
      <c r="D19" s="39"/>
      <c r="E19" s="39"/>
      <c r="F19" s="106" t="str">
        <f>'Rev allocation'!K5</f>
        <v>LV mains</v>
      </c>
      <c r="G19" s="101" t="s">
        <v>44</v>
      </c>
      <c r="H19" s="146">
        <f>'Rev allocation'!K146</f>
        <v>0.21172774448473253</v>
      </c>
      <c r="I19" s="65"/>
      <c r="J19" s="39"/>
    </row>
    <row r="20" spans="1:10" x14ac:dyDescent="0.25">
      <c r="A20" s="39"/>
      <c r="B20" s="39"/>
      <c r="C20" s="39"/>
      <c r="D20" s="39"/>
      <c r="E20" s="39"/>
      <c r="F20" s="106" t="str">
        <f>'Rev allocation'!L5</f>
        <v>HV/LV</v>
      </c>
      <c r="G20" s="101" t="s">
        <v>44</v>
      </c>
      <c r="H20" s="146">
        <f>'Rev allocation'!L146</f>
        <v>8.171982127937949E-2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3" t="str">
        <f>'Rev allocation'!M5</f>
        <v>HV</v>
      </c>
      <c r="G21" s="103" t="s">
        <v>44</v>
      </c>
      <c r="H21" s="150">
        <f>'Rev allocation'!M146</f>
        <v>0.17160059219173393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39"/>
    </row>
    <row r="23" spans="1:10" x14ac:dyDescent="0.25">
      <c r="A23" s="39"/>
      <c r="B23" s="39"/>
      <c r="C23" s="39"/>
      <c r="D23" s="39"/>
      <c r="E23" s="106" t="s">
        <v>493</v>
      </c>
      <c r="F23" s="39"/>
      <c r="G23" s="101" t="s">
        <v>231</v>
      </c>
      <c r="H23" s="116">
        <f>IF(SUM(H18:H21) = 0, 1, 0)</f>
        <v>0</v>
      </c>
      <c r="I23" s="65"/>
      <c r="J23" s="39"/>
    </row>
    <row r="24" spans="1:10" x14ac:dyDescent="0.25">
      <c r="A24" s="39"/>
      <c r="B24" s="39"/>
      <c r="C24" s="39"/>
      <c r="D24" s="39"/>
      <c r="E24" s="181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708</v>
      </c>
      <c r="D25" s="96"/>
      <c r="E25" s="96"/>
      <c r="F25" s="96"/>
      <c r="G25" s="96"/>
      <c r="H25" s="96"/>
      <c r="I25" s="96"/>
      <c r="J25" s="96"/>
    </row>
    <row r="26" spans="1:10" x14ac:dyDescent="0.25">
      <c r="A26" s="39"/>
      <c r="B26" s="39"/>
      <c r="C26" s="95"/>
      <c r="D26" s="181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39"/>
      <c r="D27" s="39"/>
      <c r="E27" s="106" t="str">
        <f>'DNO inputs'!E26</f>
        <v>HV split</v>
      </c>
      <c r="F27" s="39"/>
      <c r="G27" s="101" t="str">
        <f>'DNO inputs'!G26</f>
        <v>%</v>
      </c>
      <c r="H27" s="146">
        <f>'DNO inputs'!H26</f>
        <v>0.88845608931048481</v>
      </c>
      <c r="I27" s="65"/>
      <c r="J27" s="39"/>
    </row>
    <row r="28" spans="1:10" x14ac:dyDescent="0.25">
      <c r="A28" s="39"/>
      <c r="B28" s="39"/>
      <c r="C28" s="39"/>
      <c r="D28" s="39"/>
      <c r="E28" s="106" t="str">
        <f>'DNO inputs'!E19</f>
        <v>LV mains split</v>
      </c>
      <c r="F28" s="39"/>
      <c r="G28" s="101" t="str">
        <f>'DNO inputs'!G19</f>
        <v>%</v>
      </c>
      <c r="H28" s="146">
        <f>'DNO inputs'!H19</f>
        <v>0.15566663061095048</v>
      </c>
      <c r="I28" s="65"/>
      <c r="J28" s="39"/>
    </row>
    <row r="29" spans="1:10" x14ac:dyDescent="0.25">
      <c r="A29" s="39"/>
      <c r="B29" s="39"/>
      <c r="C29" s="39"/>
      <c r="D29" s="39"/>
      <c r="E29" s="181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39"/>
      <c r="E30" s="106" t="str">
        <f>Direct!F57</f>
        <v>HV direct proportion</v>
      </c>
      <c r="F30" s="39"/>
      <c r="G30" s="101" t="str">
        <f>Direct!G57</f>
        <v>%</v>
      </c>
      <c r="H30" s="146">
        <f>Direct!H57</f>
        <v>0.83576109000121812</v>
      </c>
      <c r="I30" s="65"/>
      <c r="J30" s="39"/>
    </row>
    <row r="31" spans="1:10" x14ac:dyDescent="0.25">
      <c r="A31" s="39"/>
      <c r="B31" s="39"/>
      <c r="C31" s="39"/>
      <c r="D31" s="39"/>
      <c r="E31" s="106" t="str">
        <f>Direct!F58</f>
        <v>LV direct proportion</v>
      </c>
      <c r="F31" s="39"/>
      <c r="G31" s="101" t="str">
        <f>Direct!G58</f>
        <v>%</v>
      </c>
      <c r="H31" s="146">
        <f>Direct!H58</f>
        <v>0.54515638023323998</v>
      </c>
      <c r="I31" s="65"/>
      <c r="J31" s="39"/>
    </row>
    <row r="32" spans="1:10" x14ac:dyDescent="0.25">
      <c r="A32" s="39"/>
      <c r="B32" s="39"/>
      <c r="C32" s="39"/>
      <c r="D32" s="39"/>
      <c r="E32" s="181"/>
      <c r="F32" s="39"/>
      <c r="G32" s="39"/>
      <c r="H32" s="65"/>
      <c r="I32" s="65"/>
      <c r="J32" s="39"/>
    </row>
    <row r="33" spans="1:10" x14ac:dyDescent="0.25">
      <c r="A33" s="39"/>
      <c r="B33" s="39"/>
      <c r="C33" s="96" t="s">
        <v>706</v>
      </c>
      <c r="D33" s="96"/>
      <c r="E33" s="96"/>
      <c r="F33" s="96"/>
      <c r="G33" s="96"/>
      <c r="H33" s="96"/>
      <c r="I33" s="96"/>
      <c r="J33" s="96"/>
    </row>
    <row r="34" spans="1:10" x14ac:dyDescent="0.25">
      <c r="A34" s="39"/>
      <c r="B34" s="39"/>
      <c r="C34" s="95"/>
      <c r="D34" s="181"/>
      <c r="E34" s="39"/>
      <c r="F34" s="39"/>
      <c r="G34" s="39"/>
      <c r="H34" s="65"/>
      <c r="I34" s="65"/>
      <c r="J34" s="39"/>
    </row>
    <row r="35" spans="1:10" x14ac:dyDescent="0.25">
      <c r="A35" s="39"/>
      <c r="B35" s="39"/>
      <c r="C35" s="39"/>
      <c r="D35" s="39"/>
      <c r="E35" s="105" t="s">
        <v>319</v>
      </c>
      <c r="F35" s="39"/>
      <c r="G35" s="39"/>
      <c r="H35" s="65"/>
      <c r="I35" s="65"/>
      <c r="J35" s="39"/>
    </row>
    <row r="36" spans="1:10" x14ac:dyDescent="0.25">
      <c r="A36" s="101"/>
      <c r="B36" s="39"/>
      <c r="C36" s="39"/>
      <c r="D36" s="39"/>
      <c r="E36" s="39"/>
      <c r="F36" s="99" t="s">
        <v>315</v>
      </c>
      <c r="G36" s="99" t="s">
        <v>44</v>
      </c>
      <c r="H36" s="177">
        <f>H18 + (H19 * ( 1 - H28 * H31))</f>
        <v>0.35194142287330399</v>
      </c>
      <c r="I36" s="112" t="s">
        <v>314</v>
      </c>
      <c r="J36" s="101" t="s">
        <v>588</v>
      </c>
    </row>
    <row r="37" spans="1:10" x14ac:dyDescent="0.25">
      <c r="A37" s="101"/>
      <c r="B37" s="39"/>
      <c r="C37" s="39"/>
      <c r="D37" s="39"/>
      <c r="E37" s="39"/>
      <c r="F37" s="106" t="s">
        <v>316</v>
      </c>
      <c r="G37" s="101" t="s">
        <v>44</v>
      </c>
      <c r="H37" s="134">
        <f>H18 + H19 + H20 + H21 * (1 - (H27 * H30))</f>
        <v>0.4958098212666997</v>
      </c>
      <c r="I37" s="112" t="s">
        <v>314</v>
      </c>
      <c r="J37" s="101" t="s">
        <v>589</v>
      </c>
    </row>
    <row r="38" spans="1:10" x14ac:dyDescent="0.25">
      <c r="A38" s="101"/>
      <c r="B38" s="39"/>
      <c r="C38" s="39"/>
      <c r="D38" s="39"/>
      <c r="E38" s="39"/>
      <c r="F38" s="106" t="s">
        <v>317</v>
      </c>
      <c r="G38" s="101" t="s">
        <v>44</v>
      </c>
      <c r="H38" s="182">
        <f>(H20 + H21 * (1 - H27 * H30)) / (1 - H19 - H18)</f>
        <v>0.19981345517849144</v>
      </c>
      <c r="I38" s="112" t="s">
        <v>314</v>
      </c>
      <c r="J38" s="101" t="s">
        <v>590</v>
      </c>
    </row>
    <row r="39" spans="1:10" x14ac:dyDescent="0.25">
      <c r="A39" s="101"/>
      <c r="B39" s="39"/>
      <c r="C39" s="39"/>
      <c r="D39" s="39"/>
      <c r="E39" s="39"/>
      <c r="F39" s="103" t="s">
        <v>318</v>
      </c>
      <c r="G39" s="103" t="s">
        <v>44</v>
      </c>
      <c r="H39" s="135">
        <f>H21 * (1 - H27 * H30) / (1 - H18 - H19 - H20)</f>
        <v>8.0567353204774053E-2</v>
      </c>
      <c r="I39" s="112" t="s">
        <v>314</v>
      </c>
      <c r="J39" s="101" t="s">
        <v>591</v>
      </c>
    </row>
    <row r="40" spans="1:10" x14ac:dyDescent="0.25">
      <c r="A40" s="39"/>
      <c r="B40" s="39"/>
      <c r="C40" s="39"/>
      <c r="D40" s="39"/>
      <c r="E40" s="39"/>
      <c r="F40" s="39"/>
      <c r="G40" s="39"/>
      <c r="H40" s="65"/>
      <c r="I40" s="65"/>
      <c r="J40" s="39"/>
    </row>
    <row r="41" spans="1:10" x14ac:dyDescent="0.25">
      <c r="A41" s="39"/>
      <c r="B41" s="93" t="s">
        <v>242</v>
      </c>
      <c r="C41" s="93"/>
      <c r="D41" s="93"/>
      <c r="E41" s="93"/>
      <c r="F41" s="93"/>
      <c r="G41" s="93"/>
      <c r="H41" s="94"/>
      <c r="I41" s="94"/>
      <c r="J41" s="93"/>
    </row>
    <row r="42" spans="1:10" x14ac:dyDescent="0.25">
      <c r="A42" s="39"/>
      <c r="B42" s="39"/>
      <c r="C42" s="39"/>
      <c r="D42" s="39"/>
      <c r="E42" s="39"/>
      <c r="F42" s="39"/>
      <c r="G42" s="39"/>
      <c r="H42" s="65"/>
      <c r="I42" s="65"/>
      <c r="J42" s="39"/>
    </row>
    <row r="43" spans="1:10" x14ac:dyDescent="0.25">
      <c r="A43" s="39"/>
      <c r="B43" s="39"/>
      <c r="C43" s="95"/>
      <c r="D43" s="95"/>
      <c r="E43" s="101" t="s">
        <v>262</v>
      </c>
      <c r="F43" s="39"/>
      <c r="G43" s="101" t="s">
        <v>231</v>
      </c>
      <c r="H43" s="139">
        <f>H23</f>
        <v>0</v>
      </c>
      <c r="I43" s="65"/>
      <c r="J43" s="39"/>
    </row>
    <row r="44" spans="1:10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39"/>
    </row>
    <row r="45" spans="1:10" x14ac:dyDescent="0.25">
      <c r="A45" s="39"/>
      <c r="B45" s="93" t="s">
        <v>30</v>
      </c>
      <c r="C45" s="93"/>
      <c r="D45" s="93"/>
      <c r="E45" s="93"/>
      <c r="F45" s="93"/>
      <c r="G45" s="93"/>
      <c r="H45" s="94"/>
      <c r="I45" s="94"/>
      <c r="J45" s="93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tabSelected="1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Output to other models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39"/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412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661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673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621</v>
      </c>
      <c r="D15" s="96"/>
      <c r="E15" s="96"/>
      <c r="F15" s="96"/>
      <c r="G15" s="96"/>
      <c r="H15" s="97"/>
      <c r="I15" s="97"/>
      <c r="J15" s="96"/>
    </row>
    <row r="16" spans="1:11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95"/>
      <c r="D17" s="95" t="s">
        <v>711</v>
      </c>
      <c r="E17" s="39"/>
      <c r="F17" s="39"/>
      <c r="G17" s="39"/>
      <c r="H17" s="65"/>
      <c r="I17" s="65"/>
      <c r="J17" s="39"/>
    </row>
    <row r="18" spans="1:10" x14ac:dyDescent="0.25">
      <c r="A18" s="39"/>
      <c r="B18" s="39"/>
      <c r="C18" s="95"/>
      <c r="D18" s="95"/>
      <c r="E18" s="39"/>
      <c r="F18" s="39"/>
      <c r="G18" s="39"/>
      <c r="H18" s="65"/>
      <c r="I18" s="65"/>
      <c r="J18" s="39"/>
    </row>
    <row r="19" spans="1:10" x14ac:dyDescent="0.25">
      <c r="A19" s="39"/>
      <c r="B19" s="39"/>
      <c r="C19" s="39"/>
      <c r="D19" s="95"/>
      <c r="E19" s="98" t="str">
        <f>'CDCM discounts'!E35</f>
        <v>PCDM user discount for CDCM</v>
      </c>
      <c r="F19" s="39"/>
      <c r="G19" s="39"/>
      <c r="H19" s="65"/>
      <c r="I19" s="65"/>
      <c r="J19" s="39"/>
    </row>
    <row r="20" spans="1:10" x14ac:dyDescent="0.25">
      <c r="A20" s="39"/>
      <c r="B20" s="39"/>
      <c r="C20" s="39"/>
      <c r="D20" s="39"/>
      <c r="E20" s="39"/>
      <c r="F20" s="99" t="str">
        <f>'CDCM discounts'!F36</f>
        <v>LDNO LV: LV user</v>
      </c>
      <c r="G20" s="99" t="str">
        <f>'CDCM discounts'!G36</f>
        <v>%</v>
      </c>
      <c r="H20" s="100">
        <f>'CDCM discounts'!H36</f>
        <v>0.35194142287330399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1" t="str">
        <f>'CDCM discounts'!F37</f>
        <v>LDNO HV: LV user</v>
      </c>
      <c r="G21" s="101" t="str">
        <f>'CDCM discounts'!G37</f>
        <v>%</v>
      </c>
      <c r="H21" s="102">
        <f>'CDCM discounts'!H37</f>
        <v>0.4958098212666997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101" t="str">
        <f>'CDCM discounts'!F38</f>
        <v>LDNO HV: LV Sub user</v>
      </c>
      <c r="G22" s="101" t="str">
        <f>'CDCM discounts'!G38</f>
        <v>%</v>
      </c>
      <c r="H22" s="102">
        <f>'CDCM discounts'!H38</f>
        <v>0.19981345517849144</v>
      </c>
      <c r="I22" s="65"/>
      <c r="J22" s="39"/>
    </row>
    <row r="23" spans="1:10" x14ac:dyDescent="0.25">
      <c r="A23" s="39"/>
      <c r="B23" s="39"/>
      <c r="C23" s="39"/>
      <c r="D23" s="39"/>
      <c r="E23" s="39"/>
      <c r="F23" s="103" t="str">
        <f>'CDCM discounts'!F39</f>
        <v>LDNO HV: HV user</v>
      </c>
      <c r="G23" s="103" t="str">
        <f>'CDCM discounts'!G39</f>
        <v>%</v>
      </c>
      <c r="H23" s="104">
        <f>'CDCM discounts'!H39</f>
        <v>8.0567353204774053E-2</v>
      </c>
      <c r="I23" s="65"/>
      <c r="J23" s="39"/>
    </row>
    <row r="24" spans="1:10" x14ac:dyDescent="0.25">
      <c r="A24" s="39"/>
      <c r="B24" s="39"/>
      <c r="C24" s="39"/>
      <c r="D24" s="39"/>
      <c r="E24" s="39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622</v>
      </c>
      <c r="D25" s="96"/>
      <c r="E25" s="96"/>
      <c r="F25" s="96"/>
      <c r="G25" s="96"/>
      <c r="H25" s="97"/>
      <c r="I25" s="97"/>
      <c r="J25" s="96"/>
    </row>
    <row r="26" spans="1:10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95"/>
      <c r="D27" s="95" t="s">
        <v>607</v>
      </c>
      <c r="E27" s="39"/>
      <c r="F27" s="39"/>
      <c r="G27" s="39"/>
      <c r="H27" s="65"/>
      <c r="I27" s="65"/>
      <c r="J27" s="39"/>
    </row>
    <row r="28" spans="1:10" x14ac:dyDescent="0.25">
      <c r="A28" s="39"/>
      <c r="B28" s="39"/>
      <c r="C28" s="95"/>
      <c r="D28" s="95" t="s">
        <v>692</v>
      </c>
      <c r="E28" s="39"/>
      <c r="F28" s="39"/>
      <c r="G28" s="39"/>
      <c r="H28" s="65"/>
      <c r="I28" s="65"/>
      <c r="J28" s="39"/>
    </row>
    <row r="29" spans="1:10" x14ac:dyDescent="0.25">
      <c r="A29" s="39"/>
      <c r="B29" s="39"/>
      <c r="C29" s="95"/>
      <c r="D29" s="95"/>
      <c r="E29" s="39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95"/>
      <c r="E30" s="105" t="s">
        <v>544</v>
      </c>
      <c r="F30" s="39"/>
      <c r="G30" s="39"/>
      <c r="H30" s="65"/>
      <c r="I30" s="65"/>
      <c r="J30" s="39"/>
    </row>
    <row r="31" spans="1:10" x14ac:dyDescent="0.25">
      <c r="A31" s="39"/>
      <c r="B31" s="39"/>
      <c r="C31" s="39"/>
      <c r="D31" s="39"/>
      <c r="E31" s="39"/>
      <c r="F31" s="99" t="s">
        <v>279</v>
      </c>
      <c r="G31" s="99" t="s">
        <v>44</v>
      </c>
      <c r="H31" s="100">
        <f>'EDCM discounts'!J105</f>
        <v>0.9567454050428511</v>
      </c>
      <c r="I31" s="65"/>
      <c r="J31" s="39"/>
    </row>
    <row r="32" spans="1:10" x14ac:dyDescent="0.25">
      <c r="A32" s="39"/>
      <c r="B32" s="39"/>
      <c r="C32" s="39"/>
      <c r="D32" s="39"/>
      <c r="E32" s="39"/>
      <c r="F32" s="106" t="s">
        <v>545</v>
      </c>
      <c r="G32" s="101" t="s">
        <v>44</v>
      </c>
      <c r="H32" s="102">
        <f>'EDCM discounts'!K105</f>
        <v>0.93291694949265835</v>
      </c>
      <c r="I32" s="65"/>
      <c r="J32" s="39"/>
    </row>
    <row r="33" spans="1:10" x14ac:dyDescent="0.25">
      <c r="A33" s="39"/>
      <c r="B33" s="39"/>
      <c r="C33" s="39"/>
      <c r="D33" s="39"/>
      <c r="E33" s="39"/>
      <c r="F33" s="106" t="s">
        <v>546</v>
      </c>
      <c r="G33" s="101" t="s">
        <v>44</v>
      </c>
      <c r="H33" s="102">
        <f>'EDCM discounts'!L105</f>
        <v>0.92367164202701202</v>
      </c>
      <c r="I33" s="65"/>
      <c r="J33" s="39"/>
    </row>
    <row r="34" spans="1:10" x14ac:dyDescent="0.25">
      <c r="A34" s="39"/>
      <c r="B34" s="39"/>
      <c r="C34" s="39"/>
      <c r="D34" s="39"/>
      <c r="E34" s="39"/>
      <c r="F34" s="103" t="s">
        <v>280</v>
      </c>
      <c r="G34" s="103" t="s">
        <v>44</v>
      </c>
      <c r="H34" s="104">
        <f>'EDCM discounts'!M105</f>
        <v>0.89309758824479157</v>
      </c>
      <c r="I34" s="65"/>
      <c r="J34" s="39"/>
    </row>
    <row r="35" spans="1:10" x14ac:dyDescent="0.25">
      <c r="A35" s="39"/>
      <c r="B35" s="39"/>
      <c r="C35" s="39"/>
      <c r="D35" s="39"/>
      <c r="E35" s="39"/>
      <c r="F35" s="39"/>
      <c r="G35" s="107"/>
      <c r="H35" s="108"/>
      <c r="I35" s="65"/>
      <c r="J35" s="39"/>
    </row>
    <row r="36" spans="1:10" x14ac:dyDescent="0.25">
      <c r="A36" s="39"/>
      <c r="B36" s="39"/>
      <c r="C36" s="39"/>
      <c r="D36" s="39"/>
      <c r="E36" s="105" t="s">
        <v>547</v>
      </c>
      <c r="F36" s="39"/>
      <c r="G36" s="107"/>
      <c r="H36" s="108"/>
      <c r="I36" s="65"/>
      <c r="J36" s="39"/>
    </row>
    <row r="37" spans="1:10" x14ac:dyDescent="0.25">
      <c r="A37" s="39"/>
      <c r="B37" s="39"/>
      <c r="C37" s="39"/>
      <c r="D37" s="39"/>
      <c r="E37" s="39"/>
      <c r="F37" s="99" t="s">
        <v>279</v>
      </c>
      <c r="G37" s="99" t="s">
        <v>44</v>
      </c>
      <c r="H37" s="185">
        <f>'EDCM discounts'!J106</f>
        <v>0.79468493298505516</v>
      </c>
      <c r="I37" s="65"/>
      <c r="J37" s="39"/>
    </row>
    <row r="38" spans="1:10" x14ac:dyDescent="0.25">
      <c r="A38" s="39"/>
      <c r="B38" s="39"/>
      <c r="C38" s="39"/>
      <c r="D38" s="39"/>
      <c r="E38" s="39"/>
      <c r="F38" s="106" t="s">
        <v>545</v>
      </c>
      <c r="G38" s="101" t="s">
        <v>44</v>
      </c>
      <c r="H38" s="102">
        <f>'EDCM discounts'!K106</f>
        <v>0.68157923975183532</v>
      </c>
      <c r="I38" s="65"/>
      <c r="J38" s="39"/>
    </row>
    <row r="39" spans="1:10" x14ac:dyDescent="0.25">
      <c r="A39" s="39"/>
      <c r="B39" s="39"/>
      <c r="C39" s="39"/>
      <c r="D39" s="39"/>
      <c r="E39" s="39"/>
      <c r="F39" s="106" t="s">
        <v>546</v>
      </c>
      <c r="G39" s="101" t="s">
        <v>44</v>
      </c>
      <c r="H39" s="102">
        <f>'EDCM discounts'!L106</f>
        <v>0.63769486345000115</v>
      </c>
      <c r="I39" s="65"/>
      <c r="J39" s="39"/>
    </row>
    <row r="40" spans="1:10" x14ac:dyDescent="0.25">
      <c r="A40" s="39"/>
      <c r="B40" s="39"/>
      <c r="C40" s="39"/>
      <c r="D40" s="39"/>
      <c r="E40" s="39"/>
      <c r="F40" s="103" t="s">
        <v>280</v>
      </c>
      <c r="G40" s="103" t="s">
        <v>44</v>
      </c>
      <c r="H40" s="104">
        <f>'EDCM discounts'!M106</f>
        <v>0.49257007595785451</v>
      </c>
      <c r="I40" s="65"/>
      <c r="J40" s="39"/>
    </row>
    <row r="41" spans="1:10" x14ac:dyDescent="0.25">
      <c r="A41" s="39"/>
      <c r="B41" s="39"/>
      <c r="C41" s="39"/>
      <c r="D41" s="39"/>
      <c r="E41" s="39"/>
      <c r="F41" s="39"/>
      <c r="G41" s="107"/>
      <c r="H41" s="108"/>
      <c r="I41" s="65"/>
      <c r="J41" s="39"/>
    </row>
    <row r="42" spans="1:10" x14ac:dyDescent="0.25">
      <c r="A42" s="39"/>
      <c r="B42" s="39"/>
      <c r="C42" s="39"/>
      <c r="D42" s="39"/>
      <c r="E42" s="105" t="s">
        <v>548</v>
      </c>
      <c r="F42" s="39"/>
      <c r="G42" s="107"/>
      <c r="H42" s="108"/>
      <c r="I42" s="65"/>
      <c r="J42" s="39"/>
    </row>
    <row r="43" spans="1:10" x14ac:dyDescent="0.25">
      <c r="A43" s="39"/>
      <c r="B43" s="39"/>
      <c r="C43" s="39"/>
      <c r="D43" s="39"/>
      <c r="E43" s="39"/>
      <c r="F43" s="99" t="s">
        <v>279</v>
      </c>
      <c r="G43" s="99" t="s">
        <v>44</v>
      </c>
      <c r="H43" s="185">
        <f>'EDCM discounts'!J107</f>
        <v>0.68663943460559052</v>
      </c>
      <c r="I43" s="65"/>
      <c r="J43" s="39"/>
    </row>
    <row r="44" spans="1:10" x14ac:dyDescent="0.25">
      <c r="A44" s="39"/>
      <c r="B44" s="39"/>
      <c r="C44" s="39"/>
      <c r="D44" s="39"/>
      <c r="E44" s="39"/>
      <c r="F44" s="106" t="s">
        <v>545</v>
      </c>
      <c r="G44" s="101" t="s">
        <v>44</v>
      </c>
      <c r="H44" s="102">
        <f>'EDCM discounts'!K107</f>
        <v>0.51401272729088288</v>
      </c>
      <c r="I44" s="65"/>
      <c r="J44" s="39"/>
    </row>
    <row r="45" spans="1:10" x14ac:dyDescent="0.25">
      <c r="A45" s="39"/>
      <c r="B45" s="39"/>
      <c r="C45" s="39"/>
      <c r="D45" s="39"/>
      <c r="E45" s="39"/>
      <c r="F45" s="106" t="s">
        <v>546</v>
      </c>
      <c r="G45" s="101" t="s">
        <v>44</v>
      </c>
      <c r="H45" s="102">
        <f>'EDCM discounts'!L107</f>
        <v>0.44703453046462255</v>
      </c>
      <c r="I45" s="65"/>
      <c r="J45" s="39"/>
    </row>
    <row r="46" spans="1:10" x14ac:dyDescent="0.25">
      <c r="A46" s="39"/>
      <c r="B46" s="39"/>
      <c r="C46" s="39"/>
      <c r="D46" s="39"/>
      <c r="E46" s="39"/>
      <c r="F46" s="103" t="s">
        <v>280</v>
      </c>
      <c r="G46" s="103" t="s">
        <v>44</v>
      </c>
      <c r="H46" s="104">
        <f>'EDCM discounts'!M107</f>
        <v>0.2255389231404292</v>
      </c>
      <c r="I46" s="65"/>
      <c r="J46" s="39"/>
    </row>
    <row r="47" spans="1:10" x14ac:dyDescent="0.25">
      <c r="A47" s="39"/>
      <c r="B47" s="39"/>
      <c r="C47" s="39"/>
      <c r="D47" s="39"/>
      <c r="E47" s="39"/>
      <c r="F47" s="39"/>
      <c r="G47" s="107"/>
      <c r="H47" s="108"/>
      <c r="I47" s="65"/>
      <c r="J47" s="39"/>
    </row>
    <row r="48" spans="1:10" x14ac:dyDescent="0.25">
      <c r="A48" s="39"/>
      <c r="B48" s="39"/>
      <c r="C48" s="39"/>
      <c r="D48" s="39"/>
      <c r="E48" s="105" t="s">
        <v>549</v>
      </c>
      <c r="F48" s="39"/>
      <c r="G48" s="107"/>
      <c r="H48" s="108"/>
      <c r="I48" s="65"/>
      <c r="J48" s="39"/>
    </row>
    <row r="49" spans="1:10" x14ac:dyDescent="0.25">
      <c r="A49" s="39"/>
      <c r="B49" s="39"/>
      <c r="C49" s="39"/>
      <c r="D49" s="39"/>
      <c r="E49" s="39"/>
      <c r="F49" s="99" t="s">
        <v>279</v>
      </c>
      <c r="G49" s="99" t="s">
        <v>44</v>
      </c>
      <c r="H49" s="100">
        <f>'EDCM discounts'!J108</f>
        <v>0.67305929143968835</v>
      </c>
      <c r="I49" s="65"/>
      <c r="J49" s="39"/>
    </row>
    <row r="50" spans="1:10" x14ac:dyDescent="0.25">
      <c r="A50" s="39"/>
      <c r="B50" s="39"/>
      <c r="C50" s="39"/>
      <c r="D50" s="39"/>
      <c r="E50" s="39"/>
      <c r="F50" s="106" t="s">
        <v>545</v>
      </c>
      <c r="G50" s="101" t="s">
        <v>44</v>
      </c>
      <c r="H50" s="102">
        <f>'EDCM discounts'!K108</f>
        <v>0.49295144048892248</v>
      </c>
      <c r="I50" s="65"/>
      <c r="J50" s="39"/>
    </row>
    <row r="51" spans="1:10" x14ac:dyDescent="0.25">
      <c r="A51" s="39"/>
      <c r="B51" s="39"/>
      <c r="C51" s="39"/>
      <c r="D51" s="39"/>
      <c r="E51" s="39"/>
      <c r="F51" s="106" t="s">
        <v>546</v>
      </c>
      <c r="G51" s="101" t="s">
        <v>44</v>
      </c>
      <c r="H51" s="102">
        <f>'EDCM discounts'!L108</f>
        <v>0.42307060177870409</v>
      </c>
      <c r="I51" s="65"/>
      <c r="J51" s="39"/>
    </row>
    <row r="52" spans="1:10" x14ac:dyDescent="0.25">
      <c r="A52" s="39"/>
      <c r="B52" s="39"/>
      <c r="C52" s="39"/>
      <c r="D52" s="39"/>
      <c r="E52" s="39"/>
      <c r="F52" s="103" t="s">
        <v>280</v>
      </c>
      <c r="G52" s="103" t="s">
        <v>44</v>
      </c>
      <c r="H52" s="104">
        <f>'EDCM discounts'!M108</f>
        <v>0.19197601363095038</v>
      </c>
      <c r="I52" s="65"/>
      <c r="J52" s="39"/>
    </row>
    <row r="53" spans="1:10" x14ac:dyDescent="0.25">
      <c r="A53" s="39"/>
      <c r="B53" s="39"/>
      <c r="C53" s="39"/>
      <c r="D53" s="39"/>
      <c r="E53" s="39"/>
      <c r="F53" s="39"/>
      <c r="G53" s="107"/>
      <c r="H53" s="108"/>
      <c r="I53" s="65"/>
      <c r="J53" s="39"/>
    </row>
    <row r="54" spans="1:10" x14ac:dyDescent="0.25">
      <c r="A54" s="39"/>
      <c r="B54" s="39"/>
      <c r="C54" s="39"/>
      <c r="D54" s="39"/>
      <c r="E54" s="105" t="s">
        <v>550</v>
      </c>
      <c r="F54" s="39"/>
      <c r="G54" s="107"/>
      <c r="H54" s="108"/>
      <c r="I54" s="65"/>
      <c r="J54" s="39"/>
    </row>
    <row r="55" spans="1:10" x14ac:dyDescent="0.25">
      <c r="A55" s="39"/>
      <c r="B55" s="39"/>
      <c r="C55" s="39"/>
      <c r="D55" s="39"/>
      <c r="E55" s="39"/>
      <c r="F55" s="99" t="s">
        <v>279</v>
      </c>
      <c r="G55" s="99" t="s">
        <v>44</v>
      </c>
      <c r="H55" s="100">
        <f>'EDCM discounts'!J109</f>
        <v>0.59538242171564981</v>
      </c>
      <c r="I55" s="65"/>
      <c r="J55" s="39"/>
    </row>
    <row r="56" spans="1:10" x14ac:dyDescent="0.25">
      <c r="A56" s="39"/>
      <c r="B56" s="39"/>
      <c r="C56" s="39"/>
      <c r="D56" s="39"/>
      <c r="E56" s="39"/>
      <c r="F56" s="106" t="s">
        <v>545</v>
      </c>
      <c r="G56" s="101" t="s">
        <v>44</v>
      </c>
      <c r="H56" s="102">
        <f>'EDCM discounts'!K109</f>
        <v>0.3724832825946669</v>
      </c>
      <c r="I56" s="65"/>
      <c r="J56" s="39"/>
    </row>
    <row r="57" spans="1:10" x14ac:dyDescent="0.25">
      <c r="A57" s="39"/>
      <c r="B57" s="39"/>
      <c r="C57" s="39"/>
      <c r="D57" s="39"/>
      <c r="E57" s="39"/>
      <c r="F57" s="106" t="s">
        <v>546</v>
      </c>
      <c r="G57" s="101" t="s">
        <v>44</v>
      </c>
      <c r="H57" s="102">
        <f>'EDCM discounts'!L109</f>
        <v>0.28599966343351302</v>
      </c>
      <c r="I57" s="65"/>
      <c r="J57" s="39"/>
    </row>
    <row r="58" spans="1:10" x14ac:dyDescent="0.25">
      <c r="A58" s="39"/>
      <c r="B58" s="39"/>
      <c r="C58" s="39"/>
      <c r="D58" s="39"/>
      <c r="E58" s="39"/>
      <c r="F58" s="103" t="s">
        <v>280</v>
      </c>
      <c r="G58" s="103" t="s">
        <v>44</v>
      </c>
      <c r="H58" s="104">
        <f>'EDCM discounts'!M109</f>
        <v>0</v>
      </c>
      <c r="I58" s="65"/>
      <c r="J58" s="39"/>
    </row>
    <row r="59" spans="1:10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39"/>
    </row>
    <row r="60" spans="1:10" x14ac:dyDescent="0.25">
      <c r="A60" s="39"/>
      <c r="B60" s="93" t="s">
        <v>30</v>
      </c>
      <c r="C60" s="93"/>
      <c r="D60" s="93"/>
      <c r="E60" s="93"/>
      <c r="F60" s="93"/>
      <c r="G60" s="93"/>
      <c r="H60" s="94"/>
      <c r="I60" s="94"/>
      <c r="J60" s="93"/>
    </row>
  </sheetData>
  <sheetProtection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2" customFormat="1" x14ac:dyDescent="0.25">
      <c r="A1" s="62" t="str">
        <f ca="1">MID(CELL("filename",A1),FIND("]",CELL("filename",A1))+1,255)</f>
        <v>Version control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s="2" customFormat="1" x14ac:dyDescent="0.25">
      <c r="A2" s="62" t="str">
        <f>Cover!D21&amp;" - "&amp;Cover!D23</f>
        <v>National Grid Electricity Distribution (West Midlands) plc - Final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x14ac:dyDescent="0.25">
      <c r="A4" s="64" t="str">
        <f>H42 &amp; IF(H42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3" x14ac:dyDescent="0.25">
      <c r="A5" s="66"/>
      <c r="B5" s="67" t="s">
        <v>12</v>
      </c>
      <c r="C5" s="67"/>
      <c r="D5" s="67"/>
      <c r="E5" s="67"/>
      <c r="F5" s="67"/>
      <c r="G5" s="68"/>
      <c r="H5" s="68"/>
      <c r="I5" s="68"/>
      <c r="J5" s="68"/>
      <c r="K5" s="68"/>
      <c r="L5" s="67"/>
    </row>
    <row r="6" spans="1:13" x14ac:dyDescent="0.25">
      <c r="A6" s="66"/>
      <c r="B6" s="66"/>
      <c r="C6" s="66"/>
      <c r="D6" s="66"/>
      <c r="E6" s="66"/>
      <c r="F6" s="66"/>
      <c r="G6" s="69"/>
      <c r="H6" s="69"/>
      <c r="I6" s="69"/>
      <c r="J6" s="69"/>
      <c r="K6" s="69"/>
      <c r="L6" s="66"/>
    </row>
    <row r="7" spans="1:13" x14ac:dyDescent="0.25">
      <c r="A7" s="66"/>
      <c r="B7" s="66"/>
      <c r="C7" s="66"/>
      <c r="D7" s="66"/>
      <c r="E7" s="66"/>
      <c r="F7" s="66" t="s">
        <v>13</v>
      </c>
      <c r="H7" s="70">
        <f>LOOKUP(2,1/(F20:F29&lt;&gt;""),F20:F29)</f>
        <v>44861</v>
      </c>
      <c r="I7" s="66"/>
      <c r="J7" s="66"/>
      <c r="K7" s="66"/>
      <c r="L7" s="66"/>
    </row>
    <row r="8" spans="1:13" x14ac:dyDescent="0.25">
      <c r="A8" s="66"/>
      <c r="B8" s="66"/>
      <c r="C8" s="66"/>
      <c r="D8" s="66"/>
      <c r="E8" s="66"/>
      <c r="F8" s="66"/>
      <c r="H8" s="69"/>
      <c r="I8" s="66"/>
      <c r="J8" s="66"/>
      <c r="K8" s="66"/>
      <c r="L8" s="66"/>
    </row>
    <row r="9" spans="1:13" x14ac:dyDescent="0.25">
      <c r="A9" s="66"/>
      <c r="B9" s="66"/>
      <c r="C9" s="66"/>
      <c r="D9" s="66"/>
      <c r="E9" s="66"/>
      <c r="F9" s="66" t="s">
        <v>485</v>
      </c>
      <c r="H9" s="72" t="str">
        <f>LOOKUP(2,1/(G20:G29&lt;&gt;""),G20:G29)</f>
        <v>Release for charge setting</v>
      </c>
      <c r="I9" s="66"/>
      <c r="J9" s="66"/>
      <c r="K9" s="66"/>
      <c r="L9" s="66"/>
    </row>
    <row r="10" spans="1:13" x14ac:dyDescent="0.25">
      <c r="A10" s="66"/>
      <c r="B10" s="66"/>
      <c r="C10" s="66"/>
      <c r="D10" s="66"/>
      <c r="E10" s="66"/>
      <c r="F10" s="66"/>
      <c r="G10" s="69"/>
      <c r="H10" s="66"/>
      <c r="I10" s="66"/>
      <c r="J10" s="66"/>
      <c r="K10" s="66"/>
      <c r="L10" s="66"/>
    </row>
    <row r="11" spans="1:13" x14ac:dyDescent="0.25">
      <c r="A11" s="66"/>
      <c r="B11" s="66"/>
      <c r="C11" s="66"/>
      <c r="D11" s="66"/>
      <c r="E11" s="66"/>
      <c r="F11" s="66" t="s">
        <v>737</v>
      </c>
      <c r="H11" s="71">
        <f>LOOKUP(2,1/(H20:H29&lt;&gt;""),H20:H29)</f>
        <v>5</v>
      </c>
      <c r="I11" s="66"/>
      <c r="J11" s="66"/>
      <c r="K11" s="66"/>
      <c r="L11" s="66"/>
    </row>
    <row r="12" spans="1:13" x14ac:dyDescent="0.25">
      <c r="A12" s="66"/>
      <c r="B12" s="66"/>
      <c r="C12" s="66"/>
      <c r="D12" s="66"/>
      <c r="E12" s="66"/>
      <c r="F12" s="66"/>
      <c r="H12" s="69"/>
      <c r="I12" s="69"/>
      <c r="J12" s="69"/>
      <c r="K12" s="66"/>
      <c r="L12" s="66"/>
    </row>
    <row r="13" spans="1:13" x14ac:dyDescent="0.25">
      <c r="A13" s="66"/>
      <c r="B13" s="66"/>
      <c r="C13" s="66"/>
      <c r="D13" s="66"/>
      <c r="E13" s="66"/>
      <c r="F13" s="66" t="s">
        <v>612</v>
      </c>
      <c r="H13" s="72" t="str">
        <f>LOOKUP(2,1/(I20:I29&lt;&gt;""),I20:I29)</f>
        <v>Attachment A_2024-25 Charging Methodologies Pre-Release (shared 06/10/2022)</v>
      </c>
      <c r="I13" s="69"/>
      <c r="J13" s="69"/>
      <c r="K13" s="66"/>
      <c r="L13" s="66"/>
    </row>
    <row r="14" spans="1:13" x14ac:dyDescent="0.25">
      <c r="A14" s="66"/>
      <c r="B14" s="66"/>
      <c r="C14" s="66"/>
      <c r="D14" s="66"/>
      <c r="E14" s="66"/>
      <c r="F14" s="66"/>
      <c r="H14" s="70"/>
      <c r="I14" s="69"/>
      <c r="J14" s="69"/>
      <c r="K14" s="66"/>
      <c r="L14" s="66"/>
    </row>
    <row r="15" spans="1:13" x14ac:dyDescent="0.25">
      <c r="A15" s="66"/>
      <c r="B15" s="66"/>
      <c r="C15" s="66"/>
      <c r="D15" s="66"/>
      <c r="E15" s="66"/>
      <c r="F15" s="73" t="s">
        <v>613</v>
      </c>
      <c r="H15" s="70" t="str">
        <f>LOOKUP(2,1/(J20:J29&lt;&gt;""),J20:J29)</f>
        <v>Schedule 29</v>
      </c>
      <c r="I15" s="69"/>
      <c r="J15" s="69"/>
      <c r="K15" s="66"/>
      <c r="L15" s="66"/>
    </row>
    <row r="16" spans="1:13" x14ac:dyDescent="0.25">
      <c r="A16" s="66"/>
      <c r="B16" s="66"/>
      <c r="C16" s="66"/>
      <c r="D16" s="66"/>
      <c r="E16" s="66"/>
      <c r="F16" s="66"/>
      <c r="H16" s="70"/>
      <c r="I16" s="69"/>
      <c r="J16" s="69"/>
      <c r="K16" s="66"/>
      <c r="L16" s="66"/>
    </row>
    <row r="17" spans="1:12" x14ac:dyDescent="0.25">
      <c r="B17" s="1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66"/>
      <c r="B18" s="66"/>
      <c r="C18" s="66"/>
      <c r="D18" s="66"/>
      <c r="E18" s="66"/>
      <c r="F18" s="66"/>
      <c r="G18" s="69"/>
      <c r="H18" s="66"/>
      <c r="I18" s="66"/>
      <c r="J18" s="66"/>
      <c r="K18" s="66"/>
      <c r="L18" s="66"/>
    </row>
    <row r="19" spans="1:12" x14ac:dyDescent="0.25">
      <c r="A19" s="66"/>
      <c r="B19" s="66"/>
      <c r="C19" s="66"/>
      <c r="D19" s="66"/>
      <c r="E19" s="66"/>
      <c r="F19" s="74" t="s">
        <v>15</v>
      </c>
      <c r="G19" s="75" t="s">
        <v>16</v>
      </c>
      <c r="H19" s="74" t="s">
        <v>739</v>
      </c>
      <c r="I19" s="75" t="s">
        <v>609</v>
      </c>
      <c r="J19" s="75" t="s">
        <v>610</v>
      </c>
      <c r="K19" s="75" t="s">
        <v>17</v>
      </c>
      <c r="L19" s="75" t="s">
        <v>18</v>
      </c>
    </row>
    <row r="20" spans="1:12" ht="30" x14ac:dyDescent="0.25">
      <c r="A20" s="66"/>
      <c r="B20" s="66"/>
      <c r="C20" s="66"/>
      <c r="D20" s="66"/>
      <c r="E20" s="66"/>
      <c r="F20" s="16">
        <v>43250</v>
      </c>
      <c r="G20" s="16" t="s">
        <v>713</v>
      </c>
      <c r="H20" s="20">
        <v>1</v>
      </c>
      <c r="I20" s="16" t="s">
        <v>430</v>
      </c>
      <c r="J20" s="16" t="s">
        <v>714</v>
      </c>
      <c r="K20" s="16" t="s">
        <v>565</v>
      </c>
      <c r="L20" s="16" t="s">
        <v>513</v>
      </c>
    </row>
    <row r="21" spans="1:12" ht="30" x14ac:dyDescent="0.25">
      <c r="A21" s="66"/>
      <c r="B21" s="66"/>
      <c r="C21" s="66"/>
      <c r="D21" s="66"/>
      <c r="E21" s="66"/>
      <c r="F21" s="16">
        <v>43301</v>
      </c>
      <c r="G21" s="16" t="s">
        <v>713</v>
      </c>
      <c r="H21" s="20">
        <v>2</v>
      </c>
      <c r="I21" s="16" t="s">
        <v>723</v>
      </c>
      <c r="J21" s="16" t="s">
        <v>714</v>
      </c>
      <c r="K21" s="16" t="s">
        <v>565</v>
      </c>
      <c r="L21" s="16" t="s">
        <v>724</v>
      </c>
    </row>
    <row r="22" spans="1:12" ht="30" x14ac:dyDescent="0.25">
      <c r="A22" s="66"/>
      <c r="B22" s="66"/>
      <c r="C22" s="66"/>
      <c r="D22" s="66"/>
      <c r="E22" s="66"/>
      <c r="F22" s="16">
        <v>43341</v>
      </c>
      <c r="G22" s="193" t="s">
        <v>713</v>
      </c>
      <c r="H22" s="20">
        <v>3</v>
      </c>
      <c r="I22" s="193" t="s">
        <v>730</v>
      </c>
      <c r="J22" s="193" t="s">
        <v>714</v>
      </c>
      <c r="K22" s="193" t="s">
        <v>565</v>
      </c>
      <c r="L22" s="193" t="s">
        <v>741</v>
      </c>
    </row>
    <row r="23" spans="1:12" ht="45" x14ac:dyDescent="0.25">
      <c r="A23" s="66"/>
      <c r="B23" s="66"/>
      <c r="C23" s="66"/>
      <c r="D23" s="66"/>
      <c r="E23" s="66"/>
      <c r="F23" s="16">
        <v>43389</v>
      </c>
      <c r="G23" s="16" t="s">
        <v>736</v>
      </c>
      <c r="H23" s="20">
        <v>3</v>
      </c>
      <c r="I23" s="193" t="s">
        <v>738</v>
      </c>
      <c r="J23" s="193" t="s">
        <v>714</v>
      </c>
      <c r="K23" s="193" t="s">
        <v>565</v>
      </c>
      <c r="L23" s="193" t="s">
        <v>740</v>
      </c>
    </row>
    <row r="24" spans="1:12" ht="60" x14ac:dyDescent="0.25">
      <c r="A24" s="66"/>
      <c r="B24" s="66"/>
      <c r="C24" s="66"/>
      <c r="D24" s="66"/>
      <c r="E24" s="66"/>
      <c r="F24" s="16">
        <v>43777</v>
      </c>
      <c r="G24" s="16" t="s">
        <v>736</v>
      </c>
      <c r="H24" s="20">
        <v>4</v>
      </c>
      <c r="I24" s="16" t="s">
        <v>743</v>
      </c>
      <c r="J24" s="193" t="s">
        <v>714</v>
      </c>
      <c r="K24" s="193" t="s">
        <v>565</v>
      </c>
      <c r="L24" s="193" t="s">
        <v>740</v>
      </c>
    </row>
    <row r="25" spans="1:12" ht="60" x14ac:dyDescent="0.25">
      <c r="A25" s="66"/>
      <c r="B25" s="66"/>
      <c r="C25" s="66"/>
      <c r="D25" s="66"/>
      <c r="E25" s="66"/>
      <c r="F25" s="16">
        <v>44141</v>
      </c>
      <c r="G25" s="16" t="s">
        <v>736</v>
      </c>
      <c r="H25" s="20">
        <v>4</v>
      </c>
      <c r="I25" s="16" t="s">
        <v>750</v>
      </c>
      <c r="J25" s="193" t="s">
        <v>714</v>
      </c>
      <c r="K25" s="193" t="s">
        <v>565</v>
      </c>
      <c r="L25" s="193" t="s">
        <v>751</v>
      </c>
    </row>
    <row r="26" spans="1:12" ht="60" x14ac:dyDescent="0.25">
      <c r="A26" s="66"/>
      <c r="B26" s="66"/>
      <c r="C26" s="66"/>
      <c r="D26" s="66"/>
      <c r="E26" s="66"/>
      <c r="F26" s="16">
        <v>44522</v>
      </c>
      <c r="G26" s="16" t="s">
        <v>736</v>
      </c>
      <c r="H26" s="20">
        <v>4</v>
      </c>
      <c r="I26" s="16" t="s">
        <v>752</v>
      </c>
      <c r="J26" s="193" t="s">
        <v>714</v>
      </c>
      <c r="K26" s="193" t="s">
        <v>565</v>
      </c>
      <c r="L26" s="193" t="s">
        <v>753</v>
      </c>
    </row>
    <row r="27" spans="1:12" ht="45" customHeight="1" x14ac:dyDescent="0.25">
      <c r="A27" s="66"/>
      <c r="B27" s="66"/>
      <c r="C27" s="66"/>
      <c r="D27" s="66"/>
      <c r="E27" s="66"/>
      <c r="F27" s="16">
        <v>44627</v>
      </c>
      <c r="G27" s="16" t="s">
        <v>713</v>
      </c>
      <c r="H27" s="20">
        <v>4</v>
      </c>
      <c r="I27" s="16" t="s">
        <v>785</v>
      </c>
      <c r="J27" s="193" t="s">
        <v>714</v>
      </c>
      <c r="K27" s="193" t="s">
        <v>565</v>
      </c>
      <c r="L27" s="16" t="s">
        <v>784</v>
      </c>
    </row>
    <row r="28" spans="1:12" ht="45" x14ac:dyDescent="0.25">
      <c r="A28" s="66"/>
      <c r="B28" s="66"/>
      <c r="C28" s="66"/>
      <c r="D28" s="66"/>
      <c r="E28" s="66"/>
      <c r="F28" s="16">
        <v>44861</v>
      </c>
      <c r="G28" s="16" t="s">
        <v>736</v>
      </c>
      <c r="H28" s="20">
        <v>5</v>
      </c>
      <c r="I28" s="16" t="s">
        <v>788</v>
      </c>
      <c r="J28" s="16" t="s">
        <v>714</v>
      </c>
      <c r="K28" s="16" t="s">
        <v>565</v>
      </c>
      <c r="L28" s="16" t="s">
        <v>789</v>
      </c>
    </row>
    <row r="29" spans="1:12" x14ac:dyDescent="0.25">
      <c r="A29" s="66"/>
      <c r="B29" s="66"/>
      <c r="C29" s="66"/>
      <c r="D29" s="66"/>
      <c r="E29" s="66"/>
      <c r="F29" s="16"/>
      <c r="G29" s="16"/>
      <c r="H29" s="20"/>
      <c r="I29" s="16"/>
      <c r="J29" s="16"/>
      <c r="K29" s="16"/>
      <c r="L29" s="16"/>
    </row>
    <row r="31" spans="1:12" x14ac:dyDescent="0.25">
      <c r="B31" s="1" t="s">
        <v>20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2:12" x14ac:dyDescent="0.25">
      <c r="E33" s="76" t="s">
        <v>21</v>
      </c>
    </row>
    <row r="34" spans="2:12" x14ac:dyDescent="0.25">
      <c r="F34" s="47" t="s">
        <v>22</v>
      </c>
      <c r="G34" s="47" t="s">
        <v>231</v>
      </c>
      <c r="H34" s="77">
        <f>MEAV!H147</f>
        <v>0</v>
      </c>
    </row>
    <row r="35" spans="2:12" x14ac:dyDescent="0.25">
      <c r="F35" t="s">
        <v>23</v>
      </c>
      <c r="G35" t="s">
        <v>231</v>
      </c>
      <c r="H35" s="78">
        <f>Expenditure!H159</f>
        <v>0</v>
      </c>
    </row>
    <row r="36" spans="2:12" x14ac:dyDescent="0.25">
      <c r="F36" t="s">
        <v>311</v>
      </c>
      <c r="G36" t="s">
        <v>231</v>
      </c>
      <c r="H36" s="78">
        <f>Expensed!H87</f>
        <v>0</v>
      </c>
    </row>
    <row r="37" spans="2:12" x14ac:dyDescent="0.25">
      <c r="F37" t="s">
        <v>24</v>
      </c>
      <c r="G37" t="s">
        <v>231</v>
      </c>
      <c r="H37" s="78">
        <f>Capitalised!H67</f>
        <v>0</v>
      </c>
    </row>
    <row r="38" spans="2:12" x14ac:dyDescent="0.25">
      <c r="F38" t="s">
        <v>25</v>
      </c>
      <c r="G38" t="s">
        <v>231</v>
      </c>
      <c r="H38" s="78">
        <f>'Rev allocation'!H188</f>
        <v>0</v>
      </c>
    </row>
    <row r="39" spans="2:12" x14ac:dyDescent="0.25">
      <c r="F39" t="s">
        <v>312</v>
      </c>
      <c r="G39" t="s">
        <v>231</v>
      </c>
      <c r="H39" s="78">
        <f>Direct!H62</f>
        <v>0</v>
      </c>
    </row>
    <row r="40" spans="2:12" x14ac:dyDescent="0.25">
      <c r="F40" t="s">
        <v>313</v>
      </c>
      <c r="G40" t="s">
        <v>231</v>
      </c>
      <c r="H40" s="78">
        <f>'EDCM discounts'!H113</f>
        <v>0</v>
      </c>
    </row>
    <row r="41" spans="2:12" x14ac:dyDescent="0.25">
      <c r="F41" s="61" t="s">
        <v>26</v>
      </c>
      <c r="G41" s="61" t="s">
        <v>231</v>
      </c>
      <c r="H41" s="79">
        <f>'CDCM discounts'!H43</f>
        <v>0</v>
      </c>
    </row>
    <row r="42" spans="2:12" x14ac:dyDescent="0.25">
      <c r="F42" s="80" t="s">
        <v>611</v>
      </c>
      <c r="G42" s="80" t="s">
        <v>231</v>
      </c>
      <c r="H42" s="81">
        <f>SUM(H34:H41)</f>
        <v>0</v>
      </c>
    </row>
    <row r="43" spans="2:12" x14ac:dyDescent="0.25">
      <c r="I43" s="82"/>
      <c r="J43" s="82"/>
    </row>
    <row r="44" spans="2:12" x14ac:dyDescent="0.25">
      <c r="B44" s="1" t="s">
        <v>27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6" spans="2:12" x14ac:dyDescent="0.25">
      <c r="F46" s="75" t="s">
        <v>28</v>
      </c>
    </row>
    <row r="47" spans="2:12" x14ac:dyDescent="0.25">
      <c r="F47" s="18" t="s">
        <v>19</v>
      </c>
    </row>
    <row r="48" spans="2:12" x14ac:dyDescent="0.25">
      <c r="F48" s="18" t="s">
        <v>608</v>
      </c>
    </row>
    <row r="49" spans="2:12" x14ac:dyDescent="0.25">
      <c r="F49" s="18" t="s">
        <v>713</v>
      </c>
    </row>
    <row r="50" spans="2:12" ht="30" x14ac:dyDescent="0.25">
      <c r="F50" s="196" t="s">
        <v>736</v>
      </c>
    </row>
    <row r="51" spans="2:12" x14ac:dyDescent="0.25">
      <c r="F51" s="18"/>
    </row>
    <row r="52" spans="2:12" x14ac:dyDescent="0.25">
      <c r="F52" s="18"/>
    </row>
    <row r="53" spans="2:12" x14ac:dyDescent="0.25">
      <c r="F53" s="18"/>
    </row>
    <row r="54" spans="2:12" x14ac:dyDescent="0.25">
      <c r="F54" s="18"/>
    </row>
    <row r="55" spans="2:12" x14ac:dyDescent="0.25">
      <c r="F55" s="18"/>
    </row>
    <row r="56" spans="2:12" x14ac:dyDescent="0.25">
      <c r="F56" s="18"/>
    </row>
    <row r="57" spans="2:12" x14ac:dyDescent="0.25">
      <c r="F57" s="18" t="s">
        <v>29</v>
      </c>
    </row>
    <row r="59" spans="2:12" x14ac:dyDescent="0.25">
      <c r="B59" s="1" t="s">
        <v>30</v>
      </c>
      <c r="C59" s="1"/>
      <c r="D59" s="1"/>
      <c r="E59" s="1"/>
      <c r="F59" s="1"/>
      <c r="G59" s="1"/>
      <c r="H59" s="1"/>
      <c r="I59" s="1"/>
      <c r="J59" s="1"/>
      <c r="K59" s="1"/>
      <c r="L59" s="1"/>
    </row>
  </sheetData>
  <sheetProtection sheet="1" objects="1" formatCells="0" formatColumns="0" formatRows="0" sort="0" autoFilter="0"/>
  <phoneticPr fontId="33" type="noConversion"/>
  <conditionalFormatting sqref="H34">
    <cfRule type="cellIs" dxfId="55" priority="4" stopIfTrue="1" operator="greaterThan">
      <formula>0</formula>
    </cfRule>
  </conditionalFormatting>
  <conditionalFormatting sqref="H35">
    <cfRule type="cellIs" dxfId="54" priority="5" stopIfTrue="1" operator="greaterThan">
      <formula>0</formula>
    </cfRule>
  </conditionalFormatting>
  <conditionalFormatting sqref="H36">
    <cfRule type="cellIs" dxfId="53" priority="6" stopIfTrue="1" operator="greaterThan">
      <formula>0</formula>
    </cfRule>
  </conditionalFormatting>
  <conditionalFormatting sqref="H37">
    <cfRule type="cellIs" dxfId="52" priority="7" stopIfTrue="1" operator="greaterThan">
      <formula>0</formula>
    </cfRule>
  </conditionalFormatting>
  <conditionalFormatting sqref="H38">
    <cfRule type="cellIs" dxfId="51" priority="8" stopIfTrue="1" operator="greaterThan">
      <formula>0</formula>
    </cfRule>
  </conditionalFormatting>
  <conditionalFormatting sqref="H39">
    <cfRule type="cellIs" dxfId="50" priority="9" stopIfTrue="1" operator="greaterThan">
      <formula>0</formula>
    </cfRule>
  </conditionalFormatting>
  <conditionalFormatting sqref="H40">
    <cfRule type="cellIs" dxfId="49" priority="10" stopIfTrue="1" operator="greaterThan">
      <formula>0</formula>
    </cfRule>
  </conditionalFormatting>
  <conditionalFormatting sqref="H41">
    <cfRule type="cellIs" dxfId="48" priority="11" stopIfTrue="1" operator="greaterThan">
      <formula>0</formula>
    </cfRule>
  </conditionalFormatting>
  <conditionalFormatting sqref="A4:XFD4">
    <cfRule type="expression" dxfId="47" priority="3">
      <formula>LEFT($A$4,1) &lt;&gt; "0"</formula>
    </cfRule>
  </conditionalFormatting>
  <conditionalFormatting sqref="H42">
    <cfRule type="cellIs" dxfId="46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2" customFormat="1" x14ac:dyDescent="0.25">
      <c r="A1" s="2" t="str">
        <f ca="1">MID(CELL("filename",A1),FIND("]",CELL("filename",A1))+1,255)</f>
        <v>Model map</v>
      </c>
    </row>
    <row r="2" spans="1:6" s="2" customFormat="1" x14ac:dyDescent="0.25">
      <c r="A2" s="2" t="str">
        <f>Cover!D21&amp;" - "&amp;Cover!D23</f>
        <v>National Grid Electricity Distribution (West Midlands) plc - Final</v>
      </c>
    </row>
    <row r="3" spans="1:6" s="3" customFormat="1" x14ac:dyDescent="0.25">
      <c r="A3" s="63" t="str">
        <f>Cover!D2&amp;" - "&amp;Cover!D8&amp;" v"&amp;Cover!D10&amp;" - "&amp;Cover!D19</f>
        <v>PCDM charging model - Release for charge setting v5 - 2024/25</v>
      </c>
    </row>
    <row r="5" spans="1:6" x14ac:dyDescent="0.25">
      <c r="B5" s="1" t="s">
        <v>31</v>
      </c>
      <c r="C5" s="1"/>
      <c r="D5" s="1"/>
      <c r="E5" s="1"/>
      <c r="F5" s="1"/>
    </row>
    <row r="7" spans="1:6" x14ac:dyDescent="0.25">
      <c r="F7" t="s">
        <v>308</v>
      </c>
    </row>
    <row r="42" spans="2:6" x14ac:dyDescent="0.25">
      <c r="B42" s="1" t="s">
        <v>30</v>
      </c>
      <c r="C42" s="1"/>
      <c r="D42" s="1"/>
      <c r="E42" s="1"/>
      <c r="F42" s="1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2" customFormat="1" x14ac:dyDescent="0.25">
      <c r="A1" s="62" t="str">
        <f ca="1">MID(CELL("filename",A1),FIND("]",CELL("filename",A1))+1,255)</f>
        <v>Index</v>
      </c>
      <c r="B1" s="62"/>
      <c r="C1" s="62"/>
      <c r="D1" s="62"/>
      <c r="E1" s="62"/>
      <c r="F1" s="62"/>
      <c r="G1" s="62"/>
      <c r="H1" s="62"/>
    </row>
    <row r="2" spans="1:8" s="2" customFormat="1" x14ac:dyDescent="0.25">
      <c r="A2" s="62" t="str">
        <f>Cover!D21&amp;" - "&amp;Cover!D23</f>
        <v>National Grid Electricity Distribution (West Midlands) plc - Final</v>
      </c>
      <c r="B2" s="62"/>
      <c r="C2" s="62"/>
      <c r="D2" s="62"/>
      <c r="E2" s="62"/>
      <c r="F2" s="62"/>
      <c r="G2" s="62"/>
      <c r="H2" s="62"/>
    </row>
    <row r="3" spans="1:8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</row>
    <row r="5" spans="1:8" x14ac:dyDescent="0.25">
      <c r="B5" s="1" t="s">
        <v>7</v>
      </c>
      <c r="C5" s="1"/>
      <c r="D5" s="1"/>
      <c r="E5" s="1"/>
      <c r="F5" s="1"/>
      <c r="G5" s="1"/>
    </row>
    <row r="7" spans="1:8" x14ac:dyDescent="0.25">
      <c r="C7" s="4" t="s">
        <v>662</v>
      </c>
    </row>
    <row r="8" spans="1:8" x14ac:dyDescent="0.25">
      <c r="C8" s="4" t="s">
        <v>663</v>
      </c>
    </row>
    <row r="10" spans="1:8" x14ac:dyDescent="0.25">
      <c r="B10" s="1" t="s">
        <v>655</v>
      </c>
      <c r="C10" s="1"/>
      <c r="D10" s="1"/>
      <c r="E10" s="1"/>
      <c r="F10" s="1"/>
      <c r="G10" s="1"/>
    </row>
    <row r="12" spans="1:8" x14ac:dyDescent="0.25">
      <c r="C12" s="4" t="s">
        <v>484</v>
      </c>
    </row>
    <row r="14" spans="1:8" ht="15.75" thickBot="1" x14ac:dyDescent="0.3">
      <c r="F14" s="5" t="s">
        <v>342</v>
      </c>
      <c r="G14" s="14" t="s">
        <v>343</v>
      </c>
    </row>
    <row r="15" spans="1:8" ht="16.5" thickTop="1" thickBot="1" x14ac:dyDescent="0.3">
      <c r="F15" s="7" t="s">
        <v>306</v>
      </c>
    </row>
    <row r="16" spans="1:8" ht="15.75" thickTop="1" x14ac:dyDescent="0.25">
      <c r="F16" s="7" t="s">
        <v>307</v>
      </c>
      <c r="G16" s="6" t="str">
        <f>'Version control'!$B$5</f>
        <v>Model version</v>
      </c>
    </row>
    <row r="17" spans="6:7" x14ac:dyDescent="0.25">
      <c r="F17" s="8" t="s">
        <v>483</v>
      </c>
      <c r="G17" s="6" t="str">
        <f>'Version control'!$B$17</f>
        <v>Version log</v>
      </c>
    </row>
    <row r="18" spans="6:7" x14ac:dyDescent="0.25">
      <c r="F18" s="8" t="s">
        <v>483</v>
      </c>
      <c r="G18" s="6" t="str">
        <f>'Version control'!$B$31</f>
        <v>Model checks</v>
      </c>
    </row>
    <row r="19" spans="6:7" ht="15.75" thickBot="1" x14ac:dyDescent="0.3">
      <c r="F19" s="8" t="s">
        <v>483</v>
      </c>
      <c r="G19" s="6" t="str">
        <f>'Version control'!$B$44</f>
        <v>Version log lists</v>
      </c>
    </row>
    <row r="20" spans="6:7" ht="16.5" thickTop="1" thickBot="1" x14ac:dyDescent="0.3">
      <c r="F20" s="7" t="s">
        <v>308</v>
      </c>
      <c r="G20" s="6" t="str">
        <f>'Model map'!$B$5</f>
        <v>Map</v>
      </c>
    </row>
    <row r="21" spans="6:7" ht="15.75" thickTop="1" x14ac:dyDescent="0.25">
      <c r="F21" s="13" t="s">
        <v>309</v>
      </c>
      <c r="G21" s="6" t="str">
        <f>'Fixed inputs'!$B$11</f>
        <v>Universal values</v>
      </c>
    </row>
    <row r="22" spans="6:7" ht="15.75" thickBot="1" x14ac:dyDescent="0.3">
      <c r="F22" s="15" t="s">
        <v>483</v>
      </c>
      <c r="G22" s="6" t="str">
        <f>'Fixed inputs'!$B$19</f>
        <v>Inputs from DCUSA text</v>
      </c>
    </row>
    <row r="23" spans="6:7" ht="15.75" thickTop="1" x14ac:dyDescent="0.25">
      <c r="F23" s="13" t="s">
        <v>310</v>
      </c>
      <c r="G23" s="6" t="str">
        <f>'DNO inputs'!$B$11</f>
        <v>Nominated Calculation Agent inputs</v>
      </c>
    </row>
    <row r="24" spans="6:7" x14ac:dyDescent="0.25">
      <c r="F24" s="15" t="s">
        <v>483</v>
      </c>
      <c r="G24" s="6" t="str">
        <f>'DNO inputs'!$B$28</f>
        <v>Inputs from other charging models</v>
      </c>
    </row>
    <row r="25" spans="6:7" x14ac:dyDescent="0.25">
      <c r="F25" s="15"/>
      <c r="G25" s="6" t="str">
        <f>'DNO inputs'!$B$58</f>
        <v>Inflation indices</v>
      </c>
    </row>
    <row r="26" spans="6:7" ht="15.75" thickBot="1" x14ac:dyDescent="0.3">
      <c r="F26" s="15" t="s">
        <v>483</v>
      </c>
      <c r="G26" s="6" t="str">
        <f>'DNO inputs'!$B$70</f>
        <v>Other DNO-specific inputs</v>
      </c>
    </row>
    <row r="27" spans="6:7" ht="15.75" thickTop="1" x14ac:dyDescent="0.25">
      <c r="F27" s="11" t="s">
        <v>22</v>
      </c>
      <c r="G27" s="6" t="str">
        <f>MEAV!$B$13</f>
        <v>MEAV</v>
      </c>
    </row>
    <row r="28" spans="6:7" ht="15.75" thickBot="1" x14ac:dyDescent="0.3">
      <c r="F28" s="12" t="s">
        <v>483</v>
      </c>
      <c r="G28" s="6" t="str">
        <f>MEAV!$B$99</f>
        <v>Adjusted MEAV</v>
      </c>
    </row>
    <row r="29" spans="6:7" ht="15.75" thickTop="1" x14ac:dyDescent="0.25">
      <c r="F29" s="11" t="s">
        <v>23</v>
      </c>
      <c r="G29" s="6" t="str">
        <f>Expenditure!$B$12</f>
        <v>Expenditure allocated based on RRP</v>
      </c>
    </row>
    <row r="30" spans="6:7" x14ac:dyDescent="0.25">
      <c r="F30" s="12" t="s">
        <v>483</v>
      </c>
      <c r="G30" s="6" t="str">
        <f>Expenditure!$B$53</f>
        <v>Expenditure allocated based on MEAV</v>
      </c>
    </row>
    <row r="31" spans="6:7" x14ac:dyDescent="0.25">
      <c r="F31" s="12" t="s">
        <v>483</v>
      </c>
      <c r="G31" s="6" t="str">
        <f>Expenditure!$B$103</f>
        <v>Allocation to LV Services</v>
      </c>
    </row>
    <row r="32" spans="6:7" ht="15.75" thickBot="1" x14ac:dyDescent="0.3">
      <c r="F32" s="12" t="s">
        <v>483</v>
      </c>
      <c r="G32" s="6" t="str">
        <f>Expenditure!$B$133</f>
        <v>Total expenditure allocated</v>
      </c>
    </row>
    <row r="33" spans="2:7" ht="16.5" thickTop="1" thickBot="1" x14ac:dyDescent="0.3">
      <c r="F33" s="11" t="s">
        <v>311</v>
      </c>
      <c r="G33" s="6" t="str">
        <f>Expensed!$B$13</f>
        <v>Expensed proportions</v>
      </c>
    </row>
    <row r="34" spans="2:7" ht="16.5" thickTop="1" thickBot="1" x14ac:dyDescent="0.3">
      <c r="F34" s="11" t="s">
        <v>24</v>
      </c>
      <c r="G34" s="6" t="str">
        <f>Capitalised!$B$13</f>
        <v>Capitalised proportions</v>
      </c>
    </row>
    <row r="35" spans="2:7" ht="15.75" thickTop="1" x14ac:dyDescent="0.25">
      <c r="F35" s="11" t="s">
        <v>25</v>
      </c>
      <c r="G35" s="6" t="str">
        <f>'Rev allocation'!$B$12</f>
        <v>Shares of allowed revenue by network level</v>
      </c>
    </row>
    <row r="36" spans="2:7" x14ac:dyDescent="0.25">
      <c r="F36" s="12" t="s">
        <v>483</v>
      </c>
      <c r="G36" s="6" t="str">
        <f>'Rev allocation'!$B$51</f>
        <v>Revenue by network level</v>
      </c>
    </row>
    <row r="37" spans="2:7" x14ac:dyDescent="0.25">
      <c r="F37" s="12" t="s">
        <v>483</v>
      </c>
      <c r="G37" s="6" t="str">
        <f>'Rev allocation'!$B$86</f>
        <v>Units flowing</v>
      </c>
    </row>
    <row r="38" spans="2:7" ht="15.75" thickBot="1" x14ac:dyDescent="0.3">
      <c r="F38" s="12" t="s">
        <v>483</v>
      </c>
      <c r="G38" s="6" t="str">
        <f>'Rev allocation'!$B$122</f>
        <v>Revenue per unit</v>
      </c>
    </row>
    <row r="39" spans="2:7" ht="16.5" thickTop="1" thickBot="1" x14ac:dyDescent="0.3">
      <c r="F39" s="11" t="s">
        <v>312</v>
      </c>
      <c r="G39" s="6" t="str">
        <f>Direct!$B$13</f>
        <v>Direct proportions</v>
      </c>
    </row>
    <row r="40" spans="2:7" ht="15.75" thickTop="1" x14ac:dyDescent="0.25">
      <c r="F40" s="11" t="s">
        <v>313</v>
      </c>
      <c r="G40" s="6" t="str">
        <f>'EDCM discounts'!$B$11</f>
        <v>Allocation percentages</v>
      </c>
    </row>
    <row r="41" spans="2:7" x14ac:dyDescent="0.25">
      <c r="F41" s="12" t="s">
        <v>483</v>
      </c>
      <c r="G41" s="6" t="str">
        <f>'EDCM discounts'!$B$27</f>
        <v>EDCM user discount components</v>
      </c>
    </row>
    <row r="42" spans="2:7" ht="15.75" thickBot="1" x14ac:dyDescent="0.3">
      <c r="F42" s="12" t="s">
        <v>483</v>
      </c>
      <c r="G42" s="6" t="str">
        <f>'EDCM discounts'!$B$87</f>
        <v>EDCM user discounts</v>
      </c>
    </row>
    <row r="43" spans="2:7" ht="16.5" thickTop="1" thickBot="1" x14ac:dyDescent="0.3">
      <c r="F43" s="11" t="s">
        <v>26</v>
      </c>
      <c r="G43" s="6" t="str">
        <f>'CDCM discounts'!$B$11</f>
        <v>CDCM user discounts</v>
      </c>
    </row>
    <row r="44" spans="2:7" ht="15.75" thickTop="1" x14ac:dyDescent="0.25">
      <c r="F44" s="9" t="s">
        <v>512</v>
      </c>
      <c r="G44" s="6" t="str">
        <f>'Output to other models'!$B$11</f>
        <v>DCUSA text outputs</v>
      </c>
    </row>
    <row r="46" spans="2:7" x14ac:dyDescent="0.25">
      <c r="B46" s="1" t="s">
        <v>656</v>
      </c>
      <c r="C46" s="1"/>
      <c r="D46" s="1"/>
      <c r="E46" s="1"/>
      <c r="F46" s="1"/>
      <c r="G46" s="1"/>
    </row>
    <row r="48" spans="2:7" x14ac:dyDescent="0.25">
      <c r="C48" s="4" t="s">
        <v>664</v>
      </c>
    </row>
    <row r="50" spans="6:7" ht="15.75" thickBot="1" x14ac:dyDescent="0.3">
      <c r="F50" s="5" t="s">
        <v>342</v>
      </c>
      <c r="G50" s="14" t="s">
        <v>343</v>
      </c>
    </row>
    <row r="51" spans="6:7" ht="15.75" thickTop="1" x14ac:dyDescent="0.25">
      <c r="F51" s="13" t="s">
        <v>309</v>
      </c>
      <c r="G51" s="6" t="str">
        <f>'Fixed inputs'!$C$15</f>
        <v>Input 401-A: Universal values</v>
      </c>
    </row>
    <row r="52" spans="6:7" x14ac:dyDescent="0.25">
      <c r="F52" s="15" t="s">
        <v>483</v>
      </c>
      <c r="G52" s="6" t="str">
        <f>'Fixed inputs'!$C$23</f>
        <v>Input 401-B: EDCM discount cap</v>
      </c>
    </row>
    <row r="53" spans="6:7" x14ac:dyDescent="0.25">
      <c r="F53" s="15" t="s">
        <v>483</v>
      </c>
      <c r="G53" s="6" t="str">
        <f>'Fixed inputs'!$C$29</f>
        <v>Input 401-C: Network length splits for EDCM</v>
      </c>
    </row>
    <row r="54" spans="6:7" x14ac:dyDescent="0.25">
      <c r="F54" s="15" t="s">
        <v>483</v>
      </c>
      <c r="G54" s="6" t="str">
        <f>'Fixed inputs'!$C$37</f>
        <v>Input 401-D: Allocation rules allocation key</v>
      </c>
    </row>
    <row r="55" spans="6:7" x14ac:dyDescent="0.25">
      <c r="F55" s="15" t="s">
        <v>483</v>
      </c>
      <c r="G55" s="6" t="str">
        <f>'Fixed inputs'!$C$90</f>
        <v>Input 401-E: Allocation rules percentage capitalised</v>
      </c>
    </row>
    <row r="56" spans="6:7" x14ac:dyDescent="0.25">
      <c r="F56" s="15" t="s">
        <v>483</v>
      </c>
      <c r="G56" s="6" t="str">
        <f>'Fixed inputs'!$C$132</f>
        <v>Input 401-F: Allocation rules direct cost indicator</v>
      </c>
    </row>
    <row r="57" spans="6:7" x14ac:dyDescent="0.25">
      <c r="F57" s="15" t="s">
        <v>483</v>
      </c>
      <c r="G57" s="6" t="str">
        <f>'Fixed inputs'!$C$178</f>
        <v>Input 401-G: Mapping of MEAV asset categories to network levels</v>
      </c>
    </row>
    <row r="58" spans="6:7" x14ac:dyDescent="0.25">
      <c r="F58" s="15" t="s">
        <v>483</v>
      </c>
      <c r="G58" s="6" t="str">
        <f>'Fixed inputs'!$C$276</f>
        <v>Input 401-H: Extended mapping of MEAV asset categories to network levels</v>
      </c>
    </row>
    <row r="59" spans="6:7" x14ac:dyDescent="0.25">
      <c r="F59" s="15" t="s">
        <v>483</v>
      </c>
      <c r="G59" s="6" t="str">
        <f>'Fixed inputs'!$C$375</f>
        <v>Input 401-I: Units distributed coefficient for the calculation of "U"</v>
      </c>
    </row>
    <row r="60" spans="6:7" x14ac:dyDescent="0.25">
      <c r="F60" s="15" t="s">
        <v>483</v>
      </c>
      <c r="G60" s="6" t="str">
        <f>'Fixed inputs'!$C$384</f>
        <v>Input 401-J: Losses coefficient for the calculation of adjustment factors for units distributed</v>
      </c>
    </row>
    <row r="61" spans="6:7" x14ac:dyDescent="0.25">
      <c r="F61" s="15" t="s">
        <v>483</v>
      </c>
      <c r="G61" s="6" t="str">
        <f>'Fixed inputs'!$C$393</f>
        <v>Input 401-K: Network levels included in the calculation of "S", by user type and network level</v>
      </c>
    </row>
    <row r="62" spans="6:7" ht="15.75" thickBot="1" x14ac:dyDescent="0.3">
      <c r="F62" s="15"/>
      <c r="G62" s="6" t="str">
        <f>'Fixed inputs'!C408</f>
        <v>Input 401-L: Decimal places for error checks</v>
      </c>
    </row>
    <row r="63" spans="6:7" ht="15.75" thickTop="1" x14ac:dyDescent="0.25">
      <c r="F63" s="13" t="s">
        <v>310</v>
      </c>
      <c r="G63" s="6" t="str">
        <f>'DNO inputs'!$C$15</f>
        <v>Input 402-A: LV mains split</v>
      </c>
    </row>
    <row r="64" spans="6:7" x14ac:dyDescent="0.25">
      <c r="F64" s="15" t="s">
        <v>483</v>
      </c>
      <c r="G64" s="6" t="str">
        <f>'DNO inputs'!$C$21</f>
        <v>Input 402-B: HV split</v>
      </c>
    </row>
    <row r="65" spans="6:7" x14ac:dyDescent="0.25">
      <c r="F65" s="15" t="s">
        <v>483</v>
      </c>
      <c r="G65" s="6" t="str">
        <f>'DNO inputs'!$C$32</f>
        <v>Input 402-C: CDCM notional asset values</v>
      </c>
    </row>
    <row r="66" spans="6:7" x14ac:dyDescent="0.25">
      <c r="F66" s="15"/>
      <c r="G66" s="6" t="str">
        <f>'DNO inputs'!$C$44</f>
        <v>Input 402-D: CDCM smart meter communication licence costs</v>
      </c>
    </row>
    <row r="67" spans="6:7" x14ac:dyDescent="0.25">
      <c r="F67" s="15" t="s">
        <v>483</v>
      </c>
      <c r="G67" s="6" t="str">
        <f>'DNO inputs'!$C$51</f>
        <v>Input 402-E: EDCM notional asset value</v>
      </c>
    </row>
    <row r="68" spans="6:7" x14ac:dyDescent="0.25">
      <c r="F68" s="15"/>
      <c r="G68" s="6" t="str">
        <f>'DNO inputs'!$C$62</f>
        <v>Input 402-F: Inflation indices</v>
      </c>
    </row>
    <row r="69" spans="6:7" x14ac:dyDescent="0.25">
      <c r="F69" s="15" t="s">
        <v>483</v>
      </c>
      <c r="G69" s="6" t="str">
        <f>'DNO inputs'!$C$74</f>
        <v>Input 402-G: MEAV asset count</v>
      </c>
    </row>
    <row r="70" spans="6:7" x14ac:dyDescent="0.25">
      <c r="F70" s="15" t="s">
        <v>483</v>
      </c>
      <c r="G70" s="6" t="str">
        <f>'DNO inputs'!$C$166</f>
        <v>Input 402-H: MEAV per unit</v>
      </c>
    </row>
    <row r="71" spans="6:7" x14ac:dyDescent="0.25">
      <c r="F71" s="15" t="s">
        <v>483</v>
      </c>
      <c r="G71" s="6" t="str">
        <f>'DNO inputs'!$C$257</f>
        <v>Input 402-I: 2007/08 RRP expenditure, by cost category</v>
      </c>
    </row>
    <row r="72" spans="6:7" x14ac:dyDescent="0.25">
      <c r="F72" s="15" t="s">
        <v>483</v>
      </c>
      <c r="G72" s="6" t="str">
        <f>'DNO inputs'!$C$299</f>
        <v>Input 402-J: 2007/08 RRP expenditure, by network level and cost category</v>
      </c>
    </row>
    <row r="73" spans="6:7" x14ac:dyDescent="0.25">
      <c r="F73" s="15" t="s">
        <v>483</v>
      </c>
      <c r="G73" s="6" t="str">
        <f>'DNO inputs'!$C$341</f>
        <v>Input 402-K: Adjusted 2007/08 load related new connections &amp; reinforcement (net of contributions)</v>
      </c>
    </row>
    <row r="74" spans="6:7" x14ac:dyDescent="0.25">
      <c r="F74" s="15" t="s">
        <v>483</v>
      </c>
      <c r="G74" s="6" t="str">
        <f>'DNO inputs'!$C$352</f>
        <v>Input 402-L: Net capex (2005/06 to 2014/15)</v>
      </c>
    </row>
    <row r="75" spans="6:7" x14ac:dyDescent="0.25">
      <c r="F75" s="15" t="s">
        <v>483</v>
      </c>
      <c r="G75" s="6" t="str">
        <f>'DNO inputs'!$C$364</f>
        <v>Input 402-M: LV services share of LV net capex</v>
      </c>
    </row>
    <row r="76" spans="6:7" x14ac:dyDescent="0.25">
      <c r="F76" s="15" t="s">
        <v>483</v>
      </c>
      <c r="G76" s="6" t="str">
        <f>'DNO inputs'!$C$371</f>
        <v>Input 402-N: Price control allowed revenue</v>
      </c>
    </row>
    <row r="77" spans="6:7" x14ac:dyDescent="0.25">
      <c r="F77" s="15" t="s">
        <v>483</v>
      </c>
      <c r="G77" s="6" t="str">
        <f>'DNO inputs'!$C$380</f>
        <v>Input 402-O: 2007/08 total allowed revenue</v>
      </c>
    </row>
    <row r="78" spans="6:7" x14ac:dyDescent="0.25">
      <c r="F78" s="15" t="s">
        <v>483</v>
      </c>
      <c r="G78" s="6" t="str">
        <f>'DNO inputs'!$C$386</f>
        <v>Input 402-P: 2007/08 net incentive revenue</v>
      </c>
    </row>
    <row r="79" spans="6:7" x14ac:dyDescent="0.25">
      <c r="F79" s="15" t="s">
        <v>483</v>
      </c>
      <c r="G79" s="6" t="str">
        <f>'DNO inputs'!$C$392</f>
        <v>Input 402-Q: Additional DNO revenue</v>
      </c>
    </row>
    <row r="80" spans="6:7" x14ac:dyDescent="0.25">
      <c r="F80" s="15" t="s">
        <v>483</v>
      </c>
      <c r="G80" s="6" t="str">
        <f>'DNO inputs'!$C$399</f>
        <v>Input 402-R: 2007/08 units distributed, by network level</v>
      </c>
    </row>
    <row r="81" spans="6:7" ht="15.75" thickBot="1" x14ac:dyDescent="0.3">
      <c r="F81" s="15" t="s">
        <v>483</v>
      </c>
      <c r="G81" s="6" t="str">
        <f>'DNO inputs'!$C$408</f>
        <v>Input 402-S: 2007/08 network losses</v>
      </c>
    </row>
    <row r="82" spans="6:7" ht="15.75" thickTop="1" x14ac:dyDescent="0.25">
      <c r="F82" s="11" t="s">
        <v>22</v>
      </c>
      <c r="G82" s="6" t="str">
        <f>MEAV!$C$18</f>
        <v>Section 401-A: MEAV by asset type</v>
      </c>
    </row>
    <row r="83" spans="6:7" x14ac:dyDescent="0.25">
      <c r="F83" s="12" t="s">
        <v>483</v>
      </c>
      <c r="G83" s="6" t="str">
        <f>MEAV!$C$27</f>
        <v>Section 401-B: Mapping of asset types to network levels</v>
      </c>
    </row>
    <row r="84" spans="6:7" x14ac:dyDescent="0.25">
      <c r="F84" s="12" t="s">
        <v>483</v>
      </c>
      <c r="G84" s="6" t="str">
        <f>MEAV!$C$49</f>
        <v>Section 401-C: MEAV shares, by asset type and network level</v>
      </c>
    </row>
    <row r="85" spans="6:7" x14ac:dyDescent="0.25">
      <c r="F85" s="12" t="s">
        <v>483</v>
      </c>
      <c r="G85" s="6" t="str">
        <f>MEAV!$C$80</f>
        <v>Section 401-D: MEAV shares from extended mapping, by asset type and network level</v>
      </c>
    </row>
    <row r="86" spans="6:7" x14ac:dyDescent="0.25">
      <c r="F86" s="12" t="s">
        <v>483</v>
      </c>
      <c r="G86" s="6" t="str">
        <f>MEAV!$C$103</f>
        <v>Section 401-E: EHV reduction ratio</v>
      </c>
    </row>
    <row r="87" spans="6:7" ht="15.75" thickBot="1" x14ac:dyDescent="0.3">
      <c r="F87" s="12" t="s">
        <v>483</v>
      </c>
      <c r="G87" s="6" t="str">
        <f>MEAV!$C$122</f>
        <v>Section 401-F: Adjusted MEAV</v>
      </c>
    </row>
    <row r="88" spans="6:7" ht="15.75" thickTop="1" x14ac:dyDescent="0.25">
      <c r="F88" s="11" t="s">
        <v>23</v>
      </c>
      <c r="G88" s="6" t="str">
        <f>Expenditure!$C$16</f>
        <v>Section 402-A: Expenditure allocated to cost category based on RRP (without LV split)</v>
      </c>
    </row>
    <row r="89" spans="6:7" x14ac:dyDescent="0.25">
      <c r="F89" s="12" t="s">
        <v>483</v>
      </c>
      <c r="G89" s="6" t="str">
        <f>Expenditure!$C$36</f>
        <v>Section 402-B: Expenditure allocated to cost category based on RRP (with LV split)</v>
      </c>
    </row>
    <row r="90" spans="6:7" x14ac:dyDescent="0.25">
      <c r="F90" s="12" t="s">
        <v>483</v>
      </c>
      <c r="G90" s="6" t="str">
        <f>Expenditure!$C$58</f>
        <v>Section 402-C: Expenditure for allocation based on MEAV</v>
      </c>
    </row>
    <row r="91" spans="6:7" x14ac:dyDescent="0.25">
      <c r="F91" s="12" t="s">
        <v>483</v>
      </c>
      <c r="G91" s="6" t="str">
        <f>Expenditure!$C$71</f>
        <v>Section 402-D: MEAV allocation shares</v>
      </c>
    </row>
    <row r="92" spans="6:7" x14ac:dyDescent="0.25">
      <c r="F92" s="12" t="s">
        <v>483</v>
      </c>
      <c r="G92" s="6" t="str">
        <f>Expenditure!$C$87</f>
        <v>Section 402-E: Expenditure allocated based on MEAV</v>
      </c>
    </row>
    <row r="93" spans="6:7" x14ac:dyDescent="0.25">
      <c r="F93" s="12"/>
      <c r="G93" s="6" t="str">
        <f>Expenditure!$C$107</f>
        <v>Section 402-F: Smart meter communication licence costs</v>
      </c>
    </row>
    <row r="94" spans="6:7" x14ac:dyDescent="0.25">
      <c r="F94" s="12" t="s">
        <v>483</v>
      </c>
      <c r="G94" s="6" t="str">
        <f>Expenditure!$C$119</f>
        <v>Section 402-G: Expenditure allocated to LV Services</v>
      </c>
    </row>
    <row r="95" spans="6:7" ht="15.75" thickBot="1" x14ac:dyDescent="0.3">
      <c r="F95" s="12" t="s">
        <v>483</v>
      </c>
      <c r="G95" s="6" t="str">
        <f>Expenditure!$C$138</f>
        <v>Section 402-H: Total expenditure allocated for discounts</v>
      </c>
    </row>
    <row r="96" spans="6:7" ht="15.75" thickTop="1" x14ac:dyDescent="0.25">
      <c r="F96" s="11" t="s">
        <v>311</v>
      </c>
      <c r="G96" s="6" t="str">
        <f>Expensed!$C$18</f>
        <v>Section 403-A: Total expenditure allocated</v>
      </c>
    </row>
    <row r="97" spans="6:7" x14ac:dyDescent="0.25">
      <c r="F97" s="12" t="s">
        <v>483</v>
      </c>
      <c r="G97" s="6" t="str">
        <f>Expensed!$C$34</f>
        <v>Section 403-B: Share expensed</v>
      </c>
    </row>
    <row r="98" spans="6:7" x14ac:dyDescent="0.25">
      <c r="F98" s="12" t="s">
        <v>483</v>
      </c>
      <c r="G98" s="6" t="str">
        <f>Expensed!$C$40</f>
        <v>Section 403-C: Value expensed</v>
      </c>
    </row>
    <row r="99" spans="6:7" ht="15.75" thickBot="1" x14ac:dyDescent="0.3">
      <c r="F99" s="12" t="s">
        <v>483</v>
      </c>
      <c r="G99" s="6" t="str">
        <f>Expensed!$C$65</f>
        <v>Section 403-D: Expensed proportions</v>
      </c>
    </row>
    <row r="100" spans="6:7" ht="15.75" thickTop="1" x14ac:dyDescent="0.25">
      <c r="F100" s="11" t="s">
        <v>24</v>
      </c>
      <c r="G100" s="6" t="str">
        <f>Capitalised!$C$18</f>
        <v>Section 404-A: Net capex (2005/06 to 2014/15)</v>
      </c>
    </row>
    <row r="101" spans="6:7" x14ac:dyDescent="0.25">
      <c r="F101" s="12" t="s">
        <v>483</v>
      </c>
      <c r="G101" s="6" t="str">
        <f>Capitalised!$C$27</f>
        <v>Section 404-B: Capitalised proportions (EDCM)</v>
      </c>
    </row>
    <row r="102" spans="6:7" ht="15.75" thickBot="1" x14ac:dyDescent="0.3">
      <c r="F102" s="12" t="s">
        <v>483</v>
      </c>
      <c r="G102" s="6" t="str">
        <f>Capitalised!$C$47</f>
        <v>Section 404-C: Capitalised proportions (CDCM)</v>
      </c>
    </row>
    <row r="103" spans="6:7" ht="15.75" thickTop="1" x14ac:dyDescent="0.25">
      <c r="F103" s="11" t="s">
        <v>25</v>
      </c>
      <c r="G103" s="6" t="str">
        <f>'Rev allocation'!$C$16</f>
        <v>Section 405-A: Breakdown of allowed revenue</v>
      </c>
    </row>
    <row r="104" spans="6:7" x14ac:dyDescent="0.25">
      <c r="F104" s="12" t="s">
        <v>483</v>
      </c>
      <c r="G104" s="6" t="str">
        <f>'Rev allocation'!$C$31</f>
        <v>Section 405-B: Share of allowed revenue by network level (EDCM)</v>
      </c>
    </row>
    <row r="105" spans="6:7" x14ac:dyDescent="0.25">
      <c r="F105" s="12" t="s">
        <v>483</v>
      </c>
      <c r="G105" s="6" t="str">
        <f>'Rev allocation'!$C$41</f>
        <v>Section 405-C: Share of allowed revenue by network level (CDCM)</v>
      </c>
    </row>
    <row r="106" spans="6:7" x14ac:dyDescent="0.25">
      <c r="F106" s="12" t="s">
        <v>483</v>
      </c>
      <c r="G106" s="6" t="str">
        <f>'Rev allocation'!$C$56</f>
        <v>Section 405-D: Revenue to share</v>
      </c>
    </row>
    <row r="107" spans="6:7" x14ac:dyDescent="0.25">
      <c r="F107" s="12" t="s">
        <v>483</v>
      </c>
      <c r="G107" s="6" t="str">
        <f>'Rev allocation'!$C$72</f>
        <v>Section 405-E: Additional DNO revenue shares</v>
      </c>
    </row>
    <row r="108" spans="6:7" x14ac:dyDescent="0.25">
      <c r="F108" s="12" t="s">
        <v>483</v>
      </c>
      <c r="G108" s="6" t="str">
        <f>'Rev allocation'!$C$80</f>
        <v>Section 405-F: Revenue allocation</v>
      </c>
    </row>
    <row r="109" spans="6:7" x14ac:dyDescent="0.25">
      <c r="F109" s="12" t="s">
        <v>483</v>
      </c>
      <c r="G109" s="6" t="str">
        <f>'Rev allocation'!$C$90</f>
        <v>Section 405-G: Revenue allocation</v>
      </c>
    </row>
    <row r="110" spans="6:7" x14ac:dyDescent="0.25">
      <c r="F110" s="12" t="s">
        <v>483</v>
      </c>
      <c r="G110" s="6" t="str">
        <f>'Rev allocation'!$C$126</f>
        <v>Section 405-H: Revenue per unit</v>
      </c>
    </row>
    <row r="111" spans="6:7" x14ac:dyDescent="0.25">
      <c r="F111" s="12" t="s">
        <v>483</v>
      </c>
      <c r="G111" s="6" t="str">
        <f>'Rev allocation'!$C$142</f>
        <v>Section 405-I: Shares of revenue per unit</v>
      </c>
    </row>
    <row r="112" spans="6:7" x14ac:dyDescent="0.25">
      <c r="F112" s="12" t="s">
        <v>483</v>
      </c>
      <c r="G112" s="6" t="str">
        <f>'Rev allocation'!$C$156</f>
        <v>Section 405-J: U</v>
      </c>
    </row>
    <row r="113" spans="6:7" ht="15.75" thickBot="1" x14ac:dyDescent="0.3">
      <c r="F113" s="12" t="s">
        <v>483</v>
      </c>
      <c r="G113" s="6" t="str">
        <f>'Rev allocation'!$C$160</f>
        <v>Section 405-K: Extended network level allocation (EDCM only)</v>
      </c>
    </row>
    <row r="114" spans="6:7" ht="15.75" thickTop="1" x14ac:dyDescent="0.25">
      <c r="F114" s="11" t="s">
        <v>312</v>
      </c>
      <c r="G114" s="6" t="str">
        <f>Direct!$C$18</f>
        <v>Section 406-A: Removal of negative expenditure</v>
      </c>
    </row>
    <row r="115" spans="6:7" ht="15.75" thickBot="1" x14ac:dyDescent="0.3">
      <c r="F115" s="12" t="s">
        <v>483</v>
      </c>
      <c r="G115" s="6" t="str">
        <f>Direct!$C$32</f>
        <v>Section 406-B: Direct share of positive expenditure</v>
      </c>
    </row>
    <row r="116" spans="6:7" ht="15.75" thickTop="1" x14ac:dyDescent="0.25">
      <c r="F116" s="11" t="s">
        <v>313</v>
      </c>
      <c r="G116" s="6" t="str">
        <f>'EDCM discounts'!$C$16</f>
        <v>Section 407-A: Allocation percentages</v>
      </c>
    </row>
    <row r="117" spans="6:7" x14ac:dyDescent="0.25">
      <c r="F117" s="12" t="s">
        <v>483</v>
      </c>
      <c r="G117" s="6" t="str">
        <f>'EDCM discounts'!$C$32</f>
        <v>Section 407-B: S</v>
      </c>
    </row>
    <row r="118" spans="6:7" x14ac:dyDescent="0.25">
      <c r="F118" s="12" t="s">
        <v>483</v>
      </c>
      <c r="G118" s="6" t="str">
        <f>'EDCM discounts'!$C$50</f>
        <v>Section 407-C: P</v>
      </c>
    </row>
    <row r="119" spans="6:7" x14ac:dyDescent="0.25">
      <c r="F119" s="12" t="s">
        <v>483</v>
      </c>
      <c r="G119" s="6" t="str">
        <f>'EDCM discounts'!$C$62</f>
        <v>Section 407-D: P adder</v>
      </c>
    </row>
    <row r="120" spans="6:7" x14ac:dyDescent="0.25">
      <c r="F120" s="12" t="s">
        <v>483</v>
      </c>
      <c r="G120" s="6" t="str">
        <f>'EDCM discounts'!$C$79</f>
        <v>Section 407-E: U</v>
      </c>
    </row>
    <row r="121" spans="6:7" x14ac:dyDescent="0.25">
      <c r="F121" s="12" t="s">
        <v>483</v>
      </c>
      <c r="G121" s="6" t="str">
        <f>'EDCM discounts'!$C$91</f>
        <v>Section 407-F: EDCM user discounts (before cap)</v>
      </c>
    </row>
    <row r="122" spans="6:7" ht="15.75" thickBot="1" x14ac:dyDescent="0.3">
      <c r="F122" s="12" t="s">
        <v>483</v>
      </c>
      <c r="G122" s="6" t="str">
        <f>'EDCM discounts'!$C$100</f>
        <v>Section 407-G: EDCM user discounts</v>
      </c>
    </row>
    <row r="123" spans="6:7" ht="15.75" thickTop="1" x14ac:dyDescent="0.25">
      <c r="F123" s="11" t="s">
        <v>26</v>
      </c>
      <c r="G123" s="6" t="str">
        <f>'CDCM discounts'!$C$15</f>
        <v>Section 408-A: Allocation percentages</v>
      </c>
    </row>
    <row r="124" spans="6:7" x14ac:dyDescent="0.25">
      <c r="F124" s="12" t="s">
        <v>483</v>
      </c>
      <c r="G124" s="6" t="str">
        <f>'CDCM discounts'!$C$25</f>
        <v>Section 408-B: Parameters for splitting allocations at circuits levels</v>
      </c>
    </row>
    <row r="125" spans="6:7" ht="15.75" thickBot="1" x14ac:dyDescent="0.3">
      <c r="F125" s="12" t="s">
        <v>483</v>
      </c>
      <c r="G125" s="6" t="str">
        <f>'CDCM discounts'!$C$33</f>
        <v>Section 408-C: PCDM user discounts for CDCM</v>
      </c>
    </row>
    <row r="126" spans="6:7" ht="15.75" thickTop="1" x14ac:dyDescent="0.25">
      <c r="F126" s="9" t="s">
        <v>512</v>
      </c>
      <c r="G126" s="6" t="str">
        <f>'Output to other models'!$C$15</f>
        <v>Output 401-A: PCDM user discount for CDCM</v>
      </c>
    </row>
    <row r="127" spans="6:7" x14ac:dyDescent="0.25">
      <c r="F127" s="10" t="s">
        <v>483</v>
      </c>
      <c r="G127" s="6" t="str">
        <f>'Output to other models'!$C$25</f>
        <v>Output 401-B: PCDM user discount for EDCM</v>
      </c>
    </row>
    <row r="129" spans="2:7" x14ac:dyDescent="0.25">
      <c r="B129" s="1" t="s">
        <v>30</v>
      </c>
      <c r="C129" s="1"/>
      <c r="D129" s="1"/>
      <c r="E129" s="1"/>
      <c r="F129" s="1"/>
      <c r="G129" s="1"/>
    </row>
  </sheetData>
  <sheetProtection sheet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Fixed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668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178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431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614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39"/>
      <c r="E17" s="101" t="s">
        <v>486</v>
      </c>
      <c r="F17" s="39"/>
      <c r="G17" s="101" t="s">
        <v>179</v>
      </c>
      <c r="H17" s="21">
        <f>10^6</f>
        <v>1000000</v>
      </c>
      <c r="I17" s="110"/>
      <c r="J17" s="110"/>
      <c r="K17" s="110"/>
      <c r="L17" s="110"/>
      <c r="M17" s="110"/>
      <c r="N17" s="65"/>
      <c r="O17" s="39"/>
    </row>
    <row r="18" spans="1:15" x14ac:dyDescent="0.25">
      <c r="A18" s="39"/>
      <c r="B18" s="39"/>
      <c r="C18" s="39"/>
      <c r="D18" s="39"/>
      <c r="E18" s="95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93" t="s">
        <v>659</v>
      </c>
      <c r="C19" s="93"/>
      <c r="D19" s="93"/>
      <c r="E19" s="93"/>
      <c r="F19" s="93"/>
      <c r="G19" s="93"/>
      <c r="H19" s="94"/>
      <c r="I19" s="94"/>
      <c r="J19" s="94"/>
      <c r="K19" s="94"/>
      <c r="L19" s="94"/>
      <c r="M19" s="94"/>
      <c r="N19" s="94"/>
      <c r="O19" s="93"/>
    </row>
    <row r="20" spans="1:15" x14ac:dyDescent="0.25">
      <c r="A20" s="39"/>
      <c r="B20" s="39"/>
      <c r="C20" s="39"/>
      <c r="D20" s="39"/>
      <c r="E20" s="39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5" t="s">
        <v>669</v>
      </c>
      <c r="D21" s="95"/>
      <c r="E21" s="39"/>
      <c r="F21" s="39"/>
      <c r="G21" s="39"/>
      <c r="H21" s="65"/>
      <c r="I21" s="65"/>
      <c r="J21" s="65"/>
      <c r="K21" s="65"/>
      <c r="L21" s="65"/>
      <c r="M21" s="65"/>
      <c r="N21" s="65"/>
      <c r="O21" s="39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96" t="s">
        <v>631</v>
      </c>
      <c r="D23" s="96"/>
      <c r="E23" s="96"/>
      <c r="F23" s="96"/>
      <c r="G23" s="96"/>
      <c r="H23" s="97"/>
      <c r="I23" s="97"/>
      <c r="J23" s="97"/>
      <c r="K23" s="97"/>
      <c r="L23" s="97"/>
      <c r="M23" s="97"/>
      <c r="N23" s="97"/>
      <c r="O23" s="96"/>
    </row>
    <row r="24" spans="1:15" x14ac:dyDescent="0.25">
      <c r="A24" s="39"/>
      <c r="B24" s="39"/>
      <c r="C24" s="95"/>
      <c r="D24" s="95"/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95"/>
      <c r="D25" s="95" t="s">
        <v>558</v>
      </c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107"/>
      <c r="B27" s="39"/>
      <c r="C27" s="39"/>
      <c r="D27" s="95"/>
      <c r="E27" s="101" t="s">
        <v>305</v>
      </c>
      <c r="F27" s="39"/>
      <c r="G27" s="101" t="s">
        <v>44</v>
      </c>
      <c r="H27" s="22">
        <v>1</v>
      </c>
      <c r="I27" s="111" t="s">
        <v>314</v>
      </c>
      <c r="J27" s="111"/>
      <c r="K27" s="111"/>
      <c r="L27" s="111"/>
      <c r="M27" s="111"/>
      <c r="N27" s="112"/>
      <c r="O27" s="101" t="s">
        <v>566</v>
      </c>
    </row>
    <row r="28" spans="1:15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6" t="s">
        <v>632</v>
      </c>
      <c r="D29" s="96"/>
      <c r="E29" s="96"/>
      <c r="F29" s="96"/>
      <c r="G29" s="96"/>
      <c r="H29" s="97"/>
      <c r="I29" s="97"/>
      <c r="J29" s="97"/>
      <c r="K29" s="97"/>
      <c r="L29" s="97"/>
      <c r="M29" s="97"/>
      <c r="N29" s="97"/>
      <c r="O29" s="96"/>
    </row>
    <row r="30" spans="1:15" x14ac:dyDescent="0.25">
      <c r="A30" s="39"/>
      <c r="B30" s="39"/>
      <c r="C30" s="95"/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 t="s">
        <v>556</v>
      </c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5"/>
      <c r="D32" s="95" t="s">
        <v>557</v>
      </c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39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107"/>
      <c r="B34" s="39"/>
      <c r="C34" s="39"/>
      <c r="D34" s="95"/>
      <c r="E34" s="101" t="s">
        <v>533</v>
      </c>
      <c r="F34" s="39"/>
      <c r="G34" s="101" t="str">
        <f>Direct!G$56</f>
        <v>%</v>
      </c>
      <c r="H34" s="22">
        <v>1</v>
      </c>
      <c r="I34" s="111" t="s">
        <v>314</v>
      </c>
      <c r="J34" s="111"/>
      <c r="K34" s="111"/>
      <c r="L34" s="111"/>
      <c r="M34" s="111"/>
      <c r="N34" s="112"/>
      <c r="O34" s="101" t="s">
        <v>566</v>
      </c>
    </row>
    <row r="35" spans="1:15" x14ac:dyDescent="0.25">
      <c r="A35" s="107"/>
      <c r="B35" s="39"/>
      <c r="C35" s="39"/>
      <c r="D35" s="39"/>
      <c r="E35" s="101" t="s">
        <v>320</v>
      </c>
      <c r="F35" s="39"/>
      <c r="G35" s="101" t="str">
        <f>Direct!G$56</f>
        <v>%</v>
      </c>
      <c r="H35" s="22">
        <v>1</v>
      </c>
      <c r="I35" s="111" t="s">
        <v>314</v>
      </c>
      <c r="J35" s="111"/>
      <c r="K35" s="111"/>
      <c r="L35" s="111"/>
      <c r="M35" s="111"/>
      <c r="N35" s="112"/>
      <c r="O35" s="101" t="s">
        <v>566</v>
      </c>
    </row>
    <row r="36" spans="1:15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39"/>
      <c r="B37" s="39"/>
      <c r="C37" s="96" t="s">
        <v>633</v>
      </c>
      <c r="D37" s="96"/>
      <c r="E37" s="96"/>
      <c r="F37" s="96"/>
      <c r="G37" s="96"/>
      <c r="H37" s="97"/>
      <c r="I37" s="97"/>
      <c r="J37" s="97"/>
      <c r="K37" s="97"/>
      <c r="L37" s="97"/>
      <c r="M37" s="97"/>
      <c r="N37" s="97"/>
      <c r="O37" s="96"/>
    </row>
    <row r="38" spans="1:15" x14ac:dyDescent="0.25">
      <c r="A38" s="39"/>
      <c r="B38" s="39"/>
      <c r="C38" s="95"/>
      <c r="D38" s="95"/>
      <c r="E38" s="39"/>
      <c r="F38" s="39"/>
      <c r="G38" s="39"/>
      <c r="H38" s="65"/>
      <c r="I38" s="65"/>
      <c r="J38" s="65"/>
      <c r="K38" s="65"/>
      <c r="L38" s="65"/>
      <c r="M38" s="65"/>
      <c r="N38" s="65"/>
      <c r="O38" s="39"/>
    </row>
    <row r="39" spans="1:15" x14ac:dyDescent="0.25">
      <c r="A39" s="39"/>
      <c r="B39" s="39"/>
      <c r="C39" s="95"/>
      <c r="D39" s="95" t="s">
        <v>674</v>
      </c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39"/>
    </row>
    <row r="40" spans="1:15" x14ac:dyDescent="0.25">
      <c r="A40" s="39"/>
      <c r="B40" s="39"/>
      <c r="C40" s="95"/>
      <c r="D40" s="95" t="s">
        <v>555</v>
      </c>
      <c r="E40" s="39"/>
      <c r="F40" s="39"/>
      <c r="G40" s="39"/>
      <c r="H40" s="65"/>
      <c r="I40" s="65"/>
      <c r="J40" s="65"/>
      <c r="K40" s="65"/>
      <c r="L40" s="65"/>
      <c r="M40" s="65"/>
      <c r="N40" s="65"/>
      <c r="O40" s="39"/>
    </row>
    <row r="41" spans="1:15" x14ac:dyDescent="0.25">
      <c r="A41" s="39"/>
      <c r="B41" s="39"/>
      <c r="C41" s="39"/>
      <c r="D41" s="95" t="s">
        <v>495</v>
      </c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39"/>
    </row>
    <row r="42" spans="1:15" x14ac:dyDescent="0.25">
      <c r="A42" s="39"/>
      <c r="B42" s="39"/>
      <c r="C42" s="39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39"/>
    </row>
    <row r="43" spans="1:15" x14ac:dyDescent="0.25">
      <c r="A43" s="39"/>
      <c r="B43" s="39"/>
      <c r="C43" s="39"/>
      <c r="D43" s="95"/>
      <c r="E43" s="98" t="s">
        <v>302</v>
      </c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39"/>
      <c r="B44" s="39"/>
      <c r="C44" s="39"/>
      <c r="D44" s="95"/>
      <c r="E44" s="39"/>
      <c r="F44" s="99" t="s">
        <v>180</v>
      </c>
      <c r="G44" s="99" t="s">
        <v>354</v>
      </c>
      <c r="H44" s="23" t="s">
        <v>22</v>
      </c>
      <c r="I44" s="110"/>
      <c r="J44" s="110"/>
      <c r="K44" s="110"/>
      <c r="L44" s="110"/>
      <c r="M44" s="110"/>
      <c r="N44" s="65"/>
      <c r="O44" s="39"/>
    </row>
    <row r="45" spans="1:15" x14ac:dyDescent="0.25">
      <c r="A45" s="39"/>
      <c r="B45" s="39"/>
      <c r="C45" s="39"/>
      <c r="D45" s="39"/>
      <c r="E45" s="39"/>
      <c r="F45" s="101" t="s">
        <v>182</v>
      </c>
      <c r="G45" s="101" t="s">
        <v>354</v>
      </c>
      <c r="H45" s="21" t="s">
        <v>183</v>
      </c>
      <c r="I45" s="110"/>
      <c r="J45" s="110"/>
      <c r="K45" s="110"/>
      <c r="L45" s="110"/>
      <c r="M45" s="110"/>
      <c r="N45" s="65"/>
      <c r="O45" s="39"/>
    </row>
    <row r="46" spans="1:15" x14ac:dyDescent="0.25">
      <c r="A46" s="39"/>
      <c r="B46" s="39"/>
      <c r="C46" s="39"/>
      <c r="D46" s="39"/>
      <c r="E46" s="39"/>
      <c r="F46" s="187" t="s">
        <v>184</v>
      </c>
      <c r="G46" s="187" t="s">
        <v>354</v>
      </c>
      <c r="H46" s="189" t="s">
        <v>185</v>
      </c>
      <c r="I46" s="110"/>
      <c r="J46" s="110"/>
      <c r="K46" s="110"/>
      <c r="L46" s="110"/>
      <c r="M46" s="110"/>
      <c r="N46" s="65"/>
      <c r="O46" s="39"/>
    </row>
    <row r="47" spans="1:15" x14ac:dyDescent="0.25">
      <c r="A47" s="39"/>
      <c r="B47" s="39"/>
      <c r="C47" s="39"/>
      <c r="D47" s="39"/>
      <c r="E47" s="39"/>
      <c r="F47" s="188" t="s">
        <v>195</v>
      </c>
      <c r="G47" s="103" t="s">
        <v>354</v>
      </c>
      <c r="H47" s="190" t="s">
        <v>725</v>
      </c>
      <c r="I47" s="110"/>
      <c r="J47" s="110"/>
      <c r="K47" s="110"/>
      <c r="L47" s="110"/>
      <c r="M47" s="110"/>
      <c r="N47" s="65"/>
      <c r="O47" s="39"/>
    </row>
    <row r="48" spans="1:15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39"/>
      <c r="B49" s="39"/>
      <c r="C49" s="39"/>
      <c r="D49" s="39"/>
      <c r="E49" s="101" t="s">
        <v>186</v>
      </c>
      <c r="F49" s="39"/>
      <c r="G49" s="101" t="s">
        <v>181</v>
      </c>
      <c r="H49" s="21" t="s">
        <v>22</v>
      </c>
      <c r="I49" s="110"/>
      <c r="J49" s="110"/>
      <c r="K49" s="110"/>
      <c r="L49" s="110"/>
      <c r="M49" s="110"/>
      <c r="N49" s="65"/>
      <c r="O49" s="39"/>
    </row>
    <row r="50" spans="1:15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39"/>
      <c r="D51" s="39"/>
      <c r="E51" s="187" t="s">
        <v>726</v>
      </c>
      <c r="F51" s="39"/>
      <c r="G51" s="101" t="s">
        <v>181</v>
      </c>
      <c r="H51" s="21" t="s">
        <v>725</v>
      </c>
      <c r="I51" s="110"/>
      <c r="J51" s="110"/>
      <c r="K51" s="110"/>
      <c r="L51" s="110"/>
      <c r="M51" s="110"/>
      <c r="N51" s="65"/>
      <c r="O51" s="39"/>
    </row>
    <row r="52" spans="1:15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107"/>
      <c r="B53" s="39"/>
      <c r="C53" s="39"/>
      <c r="D53" s="39"/>
      <c r="E53" s="98" t="s">
        <v>303</v>
      </c>
      <c r="F53" s="39"/>
      <c r="G53" s="39"/>
      <c r="H53" s="65"/>
      <c r="I53" s="112" t="s">
        <v>314</v>
      </c>
      <c r="J53" s="112"/>
      <c r="K53" s="112"/>
      <c r="L53" s="112"/>
      <c r="M53" s="112"/>
      <c r="N53" s="112"/>
      <c r="O53" s="101" t="s">
        <v>416</v>
      </c>
    </row>
    <row r="54" spans="1:15" x14ac:dyDescent="0.25">
      <c r="A54" s="39"/>
      <c r="B54" s="39"/>
      <c r="C54" s="39"/>
      <c r="D54" s="39"/>
      <c r="E54" s="39"/>
      <c r="F54" s="99" t="s">
        <v>134</v>
      </c>
      <c r="G54" s="99" t="s">
        <v>354</v>
      </c>
      <c r="H54" s="113"/>
      <c r="I54" s="110"/>
      <c r="J54" s="110"/>
      <c r="K54" s="110"/>
      <c r="L54" s="110"/>
      <c r="M54" s="110"/>
      <c r="N54" s="65"/>
      <c r="O54" s="39"/>
    </row>
    <row r="55" spans="1:15" x14ac:dyDescent="0.25">
      <c r="A55" s="39"/>
      <c r="B55" s="39"/>
      <c r="C55" s="39"/>
      <c r="D55" s="39"/>
      <c r="E55" s="39"/>
      <c r="F55" s="101" t="s">
        <v>135</v>
      </c>
      <c r="G55" s="101" t="s">
        <v>354</v>
      </c>
      <c r="H55" s="21" t="s">
        <v>22</v>
      </c>
      <c r="I55" s="110"/>
      <c r="J55" s="110"/>
      <c r="K55" s="110"/>
      <c r="L55" s="110"/>
      <c r="M55" s="110"/>
      <c r="N55" s="65"/>
      <c r="O55" s="39"/>
    </row>
    <row r="56" spans="1:15" x14ac:dyDescent="0.25">
      <c r="A56" s="39"/>
      <c r="B56" s="39"/>
      <c r="C56" s="39"/>
      <c r="D56" s="39"/>
      <c r="E56" s="39"/>
      <c r="F56" s="101" t="s">
        <v>136</v>
      </c>
      <c r="G56" s="101" t="s">
        <v>354</v>
      </c>
      <c r="H56" s="21" t="s">
        <v>22</v>
      </c>
      <c r="I56" s="110"/>
      <c r="J56" s="110"/>
      <c r="K56" s="110"/>
      <c r="L56" s="110"/>
      <c r="M56" s="110"/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137</v>
      </c>
      <c r="G57" s="101" t="s">
        <v>354</v>
      </c>
      <c r="H57" s="21" t="s">
        <v>22</v>
      </c>
      <c r="I57" s="110"/>
      <c r="J57" s="110"/>
      <c r="K57" s="110"/>
      <c r="L57" s="110"/>
      <c r="M57" s="110"/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138</v>
      </c>
      <c r="G58" s="101" t="s">
        <v>354</v>
      </c>
      <c r="H58" s="21" t="s">
        <v>22</v>
      </c>
      <c r="I58" s="110"/>
      <c r="J58" s="110"/>
      <c r="K58" s="110"/>
      <c r="L58" s="110"/>
      <c r="M58" s="110"/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139</v>
      </c>
      <c r="G59" s="101" t="s">
        <v>354</v>
      </c>
      <c r="H59" s="21" t="s">
        <v>22</v>
      </c>
      <c r="I59" s="110"/>
      <c r="J59" s="110"/>
      <c r="K59" s="110"/>
      <c r="L59" s="110"/>
      <c r="M59" s="110"/>
      <c r="N59" s="65"/>
      <c r="O59" s="39"/>
    </row>
    <row r="60" spans="1:15" x14ac:dyDescent="0.25">
      <c r="A60" s="39"/>
      <c r="B60" s="39"/>
      <c r="C60" s="39"/>
      <c r="D60" s="39"/>
      <c r="E60" s="39"/>
      <c r="F60" s="101" t="s">
        <v>140</v>
      </c>
      <c r="G60" s="101" t="s">
        <v>354</v>
      </c>
      <c r="H60" s="21" t="s">
        <v>22</v>
      </c>
      <c r="I60" s="110"/>
      <c r="J60" s="110"/>
      <c r="K60" s="110"/>
      <c r="L60" s="110"/>
      <c r="M60" s="110"/>
      <c r="N60" s="65"/>
      <c r="O60" s="39"/>
    </row>
    <row r="61" spans="1:15" x14ac:dyDescent="0.25">
      <c r="A61" s="39"/>
      <c r="B61" s="39"/>
      <c r="C61" s="39"/>
      <c r="D61" s="39"/>
      <c r="E61" s="39"/>
      <c r="F61" s="101" t="s">
        <v>141</v>
      </c>
      <c r="G61" s="101" t="s">
        <v>354</v>
      </c>
      <c r="H61" s="21" t="s">
        <v>22</v>
      </c>
      <c r="I61" s="110"/>
      <c r="J61" s="110"/>
      <c r="K61" s="110"/>
      <c r="L61" s="110"/>
      <c r="M61" s="110"/>
      <c r="N61" s="65"/>
      <c r="O61" s="39"/>
    </row>
    <row r="62" spans="1:15" x14ac:dyDescent="0.25">
      <c r="A62" s="39"/>
      <c r="B62" s="39"/>
      <c r="C62" s="39"/>
      <c r="D62" s="39"/>
      <c r="E62" s="39"/>
      <c r="F62" s="101" t="s">
        <v>142</v>
      </c>
      <c r="G62" s="101" t="s">
        <v>354</v>
      </c>
      <c r="H62" s="21" t="s">
        <v>22</v>
      </c>
      <c r="I62" s="110"/>
      <c r="J62" s="110"/>
      <c r="K62" s="110"/>
      <c r="L62" s="110"/>
      <c r="M62" s="110"/>
      <c r="N62" s="65"/>
      <c r="O62" s="39"/>
    </row>
    <row r="63" spans="1:15" x14ac:dyDescent="0.25">
      <c r="A63" s="39"/>
      <c r="B63" s="39"/>
      <c r="C63" s="39"/>
      <c r="D63" s="39"/>
      <c r="E63" s="39"/>
      <c r="F63" s="101" t="s">
        <v>143</v>
      </c>
      <c r="G63" s="101" t="s">
        <v>354</v>
      </c>
      <c r="H63" s="21" t="s">
        <v>22</v>
      </c>
      <c r="I63" s="110"/>
      <c r="J63" s="110"/>
      <c r="K63" s="110"/>
      <c r="L63" s="110"/>
      <c r="M63" s="110"/>
      <c r="N63" s="65"/>
      <c r="O63" s="39"/>
    </row>
    <row r="64" spans="1:15" x14ac:dyDescent="0.25">
      <c r="A64" s="39"/>
      <c r="B64" s="39"/>
      <c r="C64" s="39"/>
      <c r="D64" s="39"/>
      <c r="E64" s="39"/>
      <c r="F64" s="101" t="s">
        <v>144</v>
      </c>
      <c r="G64" s="101" t="s">
        <v>354</v>
      </c>
      <c r="H64" s="21" t="s">
        <v>22</v>
      </c>
      <c r="I64" s="110"/>
      <c r="J64" s="110"/>
      <c r="K64" s="110"/>
      <c r="L64" s="110"/>
      <c r="M64" s="110"/>
      <c r="N64" s="65"/>
      <c r="O64" s="39"/>
    </row>
    <row r="65" spans="1:15" x14ac:dyDescent="0.25">
      <c r="A65" s="39"/>
      <c r="B65" s="39"/>
      <c r="C65" s="39"/>
      <c r="D65" s="39"/>
      <c r="E65" s="39"/>
      <c r="F65" s="101" t="s">
        <v>188</v>
      </c>
      <c r="G65" s="101" t="s">
        <v>354</v>
      </c>
      <c r="H65" s="21" t="s">
        <v>22</v>
      </c>
      <c r="I65" s="110"/>
      <c r="J65" s="110"/>
      <c r="K65" s="110"/>
      <c r="L65" s="110"/>
      <c r="M65" s="110"/>
      <c r="N65" s="65"/>
      <c r="O65" s="39"/>
    </row>
    <row r="66" spans="1:15" x14ac:dyDescent="0.25">
      <c r="A66" s="39"/>
      <c r="B66" s="39"/>
      <c r="C66" s="39"/>
      <c r="D66" s="39"/>
      <c r="E66" s="39"/>
      <c r="F66" s="101" t="s">
        <v>146</v>
      </c>
      <c r="G66" s="101" t="s">
        <v>354</v>
      </c>
      <c r="H66" s="21" t="s">
        <v>22</v>
      </c>
      <c r="I66" s="110"/>
      <c r="J66" s="110"/>
      <c r="K66" s="110"/>
      <c r="L66" s="110"/>
      <c r="M66" s="110"/>
      <c r="N66" s="65"/>
      <c r="O66" s="39"/>
    </row>
    <row r="67" spans="1:15" x14ac:dyDescent="0.25">
      <c r="A67" s="39"/>
      <c r="B67" s="39"/>
      <c r="C67" s="39"/>
      <c r="D67" s="39"/>
      <c r="E67" s="39"/>
      <c r="F67" s="101" t="s">
        <v>147</v>
      </c>
      <c r="G67" s="101" t="s">
        <v>354</v>
      </c>
      <c r="H67" s="21" t="s">
        <v>22</v>
      </c>
      <c r="I67" s="110"/>
      <c r="J67" s="110"/>
      <c r="K67" s="110"/>
      <c r="L67" s="110"/>
      <c r="M67" s="110"/>
      <c r="N67" s="65"/>
      <c r="O67" s="39"/>
    </row>
    <row r="68" spans="1:15" x14ac:dyDescent="0.25">
      <c r="A68" s="39"/>
      <c r="B68" s="39"/>
      <c r="C68" s="39"/>
      <c r="D68" s="39"/>
      <c r="E68" s="39"/>
      <c r="F68" s="101" t="s">
        <v>148</v>
      </c>
      <c r="G68" s="101" t="s">
        <v>354</v>
      </c>
      <c r="H68" s="21" t="s">
        <v>22</v>
      </c>
      <c r="I68" s="110"/>
      <c r="J68" s="110"/>
      <c r="K68" s="110"/>
      <c r="L68" s="110"/>
      <c r="M68" s="110"/>
      <c r="N68" s="65"/>
      <c r="O68" s="39"/>
    </row>
    <row r="69" spans="1:15" x14ac:dyDescent="0.25">
      <c r="A69" s="39"/>
      <c r="B69" s="39"/>
      <c r="C69" s="39"/>
      <c r="D69" s="39"/>
      <c r="E69" s="39"/>
      <c r="F69" s="101" t="s">
        <v>149</v>
      </c>
      <c r="G69" s="101" t="s">
        <v>354</v>
      </c>
      <c r="H69" s="21" t="s">
        <v>185</v>
      </c>
      <c r="I69" s="110"/>
      <c r="J69" s="110"/>
      <c r="K69" s="110"/>
      <c r="L69" s="110"/>
      <c r="M69" s="110"/>
      <c r="N69" s="65"/>
      <c r="O69" s="39"/>
    </row>
    <row r="70" spans="1:15" x14ac:dyDescent="0.25">
      <c r="A70" s="39"/>
      <c r="B70" s="39"/>
      <c r="C70" s="39"/>
      <c r="D70" s="39"/>
      <c r="E70" s="39"/>
      <c r="F70" s="101" t="s">
        <v>150</v>
      </c>
      <c r="G70" s="101" t="s">
        <v>354</v>
      </c>
      <c r="H70" s="21" t="s">
        <v>185</v>
      </c>
      <c r="I70" s="110"/>
      <c r="J70" s="110"/>
      <c r="K70" s="110"/>
      <c r="L70" s="110"/>
      <c r="M70" s="110"/>
      <c r="N70" s="65"/>
      <c r="O70" s="39"/>
    </row>
    <row r="71" spans="1:15" x14ac:dyDescent="0.25">
      <c r="A71" s="39"/>
      <c r="B71" s="39"/>
      <c r="C71" s="39"/>
      <c r="D71" s="39"/>
      <c r="E71" s="39"/>
      <c r="F71" s="101" t="s">
        <v>151</v>
      </c>
      <c r="G71" s="101" t="s">
        <v>354</v>
      </c>
      <c r="H71" s="21" t="s">
        <v>22</v>
      </c>
      <c r="I71" s="110"/>
      <c r="J71" s="110"/>
      <c r="K71" s="110"/>
      <c r="L71" s="110"/>
      <c r="M71" s="110"/>
      <c r="N71" s="65"/>
      <c r="O71" s="39"/>
    </row>
    <row r="72" spans="1:15" x14ac:dyDescent="0.25">
      <c r="A72" s="39"/>
      <c r="B72" s="39"/>
      <c r="C72" s="39"/>
      <c r="D72" s="39"/>
      <c r="E72" s="39"/>
      <c r="F72" s="101" t="s">
        <v>152</v>
      </c>
      <c r="G72" s="101" t="s">
        <v>354</v>
      </c>
      <c r="H72" s="21" t="s">
        <v>22</v>
      </c>
      <c r="I72" s="110"/>
      <c r="J72" s="110"/>
      <c r="K72" s="110"/>
      <c r="L72" s="110"/>
      <c r="M72" s="110"/>
      <c r="N72" s="65"/>
      <c r="O72" s="39"/>
    </row>
    <row r="73" spans="1:15" x14ac:dyDescent="0.25">
      <c r="A73" s="39"/>
      <c r="B73" s="39"/>
      <c r="C73" s="39"/>
      <c r="D73" s="39"/>
      <c r="E73" s="39"/>
      <c r="F73" s="101" t="s">
        <v>153</v>
      </c>
      <c r="G73" s="101" t="s">
        <v>354</v>
      </c>
      <c r="H73" s="21" t="s">
        <v>22</v>
      </c>
      <c r="I73" s="110"/>
      <c r="J73" s="110"/>
      <c r="K73" s="110"/>
      <c r="L73" s="110"/>
      <c r="M73" s="110"/>
      <c r="N73" s="65"/>
      <c r="O73" s="39"/>
    </row>
    <row r="74" spans="1:15" x14ac:dyDescent="0.25">
      <c r="A74" s="39"/>
      <c r="B74" s="39"/>
      <c r="C74" s="39"/>
      <c r="D74" s="39"/>
      <c r="E74" s="39"/>
      <c r="F74" s="101" t="s">
        <v>154</v>
      </c>
      <c r="G74" s="101" t="s">
        <v>354</v>
      </c>
      <c r="H74" s="21" t="s">
        <v>22</v>
      </c>
      <c r="I74" s="110"/>
      <c r="J74" s="110"/>
      <c r="K74" s="110"/>
      <c r="L74" s="110"/>
      <c r="M74" s="110"/>
      <c r="N74" s="65"/>
      <c r="O74" s="39"/>
    </row>
    <row r="75" spans="1:15" x14ac:dyDescent="0.25">
      <c r="A75" s="39"/>
      <c r="B75" s="39"/>
      <c r="C75" s="39"/>
      <c r="D75" s="39"/>
      <c r="E75" s="39"/>
      <c r="F75" s="101" t="s">
        <v>155</v>
      </c>
      <c r="G75" s="101" t="s">
        <v>354</v>
      </c>
      <c r="H75" s="21" t="s">
        <v>185</v>
      </c>
      <c r="I75" s="110"/>
      <c r="J75" s="110"/>
      <c r="K75" s="110"/>
      <c r="L75" s="110"/>
      <c r="M75" s="110"/>
      <c r="N75" s="65"/>
      <c r="O75" s="39"/>
    </row>
    <row r="76" spans="1:15" x14ac:dyDescent="0.25">
      <c r="A76" s="39"/>
      <c r="B76" s="39"/>
      <c r="C76" s="39"/>
      <c r="D76" s="39"/>
      <c r="E76" s="39"/>
      <c r="F76" s="101" t="s">
        <v>156</v>
      </c>
      <c r="G76" s="101" t="s">
        <v>354</v>
      </c>
      <c r="H76" s="24" t="s">
        <v>185</v>
      </c>
      <c r="I76" s="114"/>
      <c r="J76" s="114"/>
      <c r="K76" s="114"/>
      <c r="L76" s="114"/>
      <c r="M76" s="114"/>
      <c r="N76" s="65"/>
      <c r="O76" s="39"/>
    </row>
    <row r="77" spans="1:15" x14ac:dyDescent="0.25">
      <c r="A77" s="39"/>
      <c r="B77" s="39"/>
      <c r="C77" s="39"/>
      <c r="D77" s="39"/>
      <c r="E77" s="39"/>
      <c r="F77" s="101" t="s">
        <v>157</v>
      </c>
      <c r="G77" s="101" t="s">
        <v>354</v>
      </c>
      <c r="H77" s="24" t="s">
        <v>185</v>
      </c>
      <c r="I77" s="114"/>
      <c r="J77" s="114"/>
      <c r="K77" s="114"/>
      <c r="L77" s="114"/>
      <c r="M77" s="114"/>
      <c r="N77" s="65"/>
      <c r="O77" s="39"/>
    </row>
    <row r="78" spans="1:15" x14ac:dyDescent="0.25">
      <c r="A78" s="39"/>
      <c r="B78" s="39"/>
      <c r="C78" s="39"/>
      <c r="D78" s="39"/>
      <c r="E78" s="39"/>
      <c r="F78" s="101" t="s">
        <v>158</v>
      </c>
      <c r="G78" s="101" t="s">
        <v>354</v>
      </c>
      <c r="H78" s="24" t="s">
        <v>185</v>
      </c>
      <c r="I78" s="114"/>
      <c r="J78" s="114"/>
      <c r="K78" s="114"/>
      <c r="L78" s="114"/>
      <c r="M78" s="114"/>
      <c r="N78" s="65"/>
      <c r="O78" s="39"/>
    </row>
    <row r="79" spans="1:15" x14ac:dyDescent="0.25">
      <c r="A79" s="39"/>
      <c r="B79" s="39"/>
      <c r="C79" s="39"/>
      <c r="D79" s="39"/>
      <c r="E79" s="39"/>
      <c r="F79" s="101" t="s">
        <v>159</v>
      </c>
      <c r="G79" s="101" t="s">
        <v>354</v>
      </c>
      <c r="H79" s="24" t="s">
        <v>185</v>
      </c>
      <c r="I79" s="114"/>
      <c r="J79" s="114"/>
      <c r="K79" s="114"/>
      <c r="L79" s="114"/>
      <c r="M79" s="114"/>
      <c r="N79" s="65"/>
      <c r="O79" s="39"/>
    </row>
    <row r="80" spans="1:15" x14ac:dyDescent="0.25">
      <c r="A80" s="39"/>
      <c r="B80" s="39"/>
      <c r="C80" s="39"/>
      <c r="D80" s="39"/>
      <c r="E80" s="39"/>
      <c r="F80" s="101" t="s">
        <v>160</v>
      </c>
      <c r="G80" s="101" t="s">
        <v>354</v>
      </c>
      <c r="H80" s="24" t="s">
        <v>185</v>
      </c>
      <c r="I80" s="114"/>
      <c r="J80" s="114"/>
      <c r="K80" s="114"/>
      <c r="L80" s="114"/>
      <c r="M80" s="114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161</v>
      </c>
      <c r="G81" s="101" t="s">
        <v>354</v>
      </c>
      <c r="H81" s="24" t="s">
        <v>185</v>
      </c>
      <c r="I81" s="114"/>
      <c r="J81" s="114"/>
      <c r="K81" s="114"/>
      <c r="L81" s="114"/>
      <c r="M81" s="114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162</v>
      </c>
      <c r="G82" s="101" t="s">
        <v>354</v>
      </c>
      <c r="H82" s="24" t="s">
        <v>185</v>
      </c>
      <c r="I82" s="114"/>
      <c r="J82" s="114"/>
      <c r="K82" s="114"/>
      <c r="L82" s="114"/>
      <c r="M82" s="114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163</v>
      </c>
      <c r="G83" s="101" t="s">
        <v>354</v>
      </c>
      <c r="H83" s="24" t="s">
        <v>185</v>
      </c>
      <c r="I83" s="114"/>
      <c r="J83" s="114"/>
      <c r="K83" s="114"/>
      <c r="L83" s="114"/>
      <c r="M83" s="114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164</v>
      </c>
      <c r="G84" s="101" t="s">
        <v>354</v>
      </c>
      <c r="H84" s="24" t="s">
        <v>183</v>
      </c>
      <c r="I84" s="114"/>
      <c r="J84" s="114"/>
      <c r="K84" s="114"/>
      <c r="L84" s="114"/>
      <c r="M84" s="114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189</v>
      </c>
      <c r="G85" s="101" t="s">
        <v>354</v>
      </c>
      <c r="H85" s="24" t="s">
        <v>185</v>
      </c>
      <c r="I85" s="114"/>
      <c r="J85" s="114"/>
      <c r="K85" s="114"/>
      <c r="L85" s="114"/>
      <c r="M85" s="114"/>
      <c r="N85" s="65"/>
      <c r="O85" s="39"/>
    </row>
    <row r="86" spans="1:15" x14ac:dyDescent="0.25">
      <c r="A86" s="39"/>
      <c r="B86" s="39"/>
      <c r="C86" s="39"/>
      <c r="D86" s="39"/>
      <c r="E86" s="39"/>
      <c r="F86" s="187" t="s">
        <v>728</v>
      </c>
      <c r="G86" s="187" t="s">
        <v>354</v>
      </c>
      <c r="H86" s="24" t="s">
        <v>725</v>
      </c>
      <c r="I86" s="116" t="s">
        <v>314</v>
      </c>
      <c r="J86" s="114"/>
      <c r="K86" s="114"/>
      <c r="L86" s="114"/>
      <c r="M86" s="114"/>
      <c r="N86" s="65"/>
      <c r="O86" s="39" t="s">
        <v>735</v>
      </c>
    </row>
    <row r="87" spans="1:15" x14ac:dyDescent="0.25">
      <c r="A87" s="39"/>
      <c r="B87" s="39"/>
      <c r="C87" s="39"/>
      <c r="D87" s="39"/>
      <c r="E87" s="39"/>
      <c r="F87" s="187" t="s">
        <v>727</v>
      </c>
      <c r="G87" s="101" t="s">
        <v>354</v>
      </c>
      <c r="H87" s="24" t="s">
        <v>185</v>
      </c>
      <c r="I87" s="116" t="s">
        <v>314</v>
      </c>
      <c r="J87" s="114"/>
      <c r="K87" s="114"/>
      <c r="L87" s="114"/>
      <c r="M87" s="114"/>
      <c r="N87" s="65"/>
      <c r="O87" s="39" t="s">
        <v>735</v>
      </c>
    </row>
    <row r="88" spans="1:15" x14ac:dyDescent="0.25">
      <c r="A88" s="39"/>
      <c r="B88" s="39"/>
      <c r="C88" s="39"/>
      <c r="D88" s="39"/>
      <c r="E88" s="39"/>
      <c r="F88" s="188" t="s">
        <v>755</v>
      </c>
      <c r="G88" s="103" t="s">
        <v>354</v>
      </c>
      <c r="H88" s="25" t="s">
        <v>725</v>
      </c>
      <c r="I88" s="116" t="s">
        <v>314</v>
      </c>
      <c r="J88" s="114"/>
      <c r="K88" s="114"/>
      <c r="L88" s="114"/>
      <c r="M88" s="114"/>
      <c r="N88" s="65"/>
      <c r="O88" s="39" t="s">
        <v>754</v>
      </c>
    </row>
    <row r="89" spans="1:15" x14ac:dyDescent="0.25">
      <c r="A89" s="39"/>
      <c r="B89" s="39"/>
      <c r="C89" s="39"/>
      <c r="D89" s="39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6" t="s">
        <v>615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6"/>
    </row>
    <row r="91" spans="1:15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39"/>
    </row>
    <row r="92" spans="1:15" x14ac:dyDescent="0.25">
      <c r="A92" s="39"/>
      <c r="B92" s="39"/>
      <c r="C92" s="95"/>
      <c r="D92" s="95" t="s">
        <v>559</v>
      </c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39"/>
      <c r="B93" s="39"/>
      <c r="C93" s="95"/>
      <c r="D93" s="95" t="s">
        <v>560</v>
      </c>
      <c r="E93" s="39"/>
      <c r="F93" s="39"/>
      <c r="G93" s="39"/>
      <c r="H93" s="65"/>
      <c r="I93" s="65"/>
      <c r="J93" s="65"/>
      <c r="K93" s="65"/>
      <c r="L93" s="65"/>
      <c r="M93" s="65"/>
      <c r="N93" s="65"/>
      <c r="O93" s="39"/>
    </row>
    <row r="94" spans="1:15" x14ac:dyDescent="0.25">
      <c r="A94" s="39"/>
      <c r="B94" s="39"/>
      <c r="C94" s="95"/>
      <c r="D94" s="95"/>
      <c r="E94" s="39"/>
      <c r="F94" s="39"/>
      <c r="G94" s="39"/>
      <c r="H94" s="65"/>
      <c r="I94" s="65"/>
      <c r="J94" s="65"/>
      <c r="K94" s="65"/>
      <c r="L94" s="65"/>
      <c r="M94" s="65"/>
      <c r="N94" s="65"/>
      <c r="O94" s="39"/>
    </row>
    <row r="95" spans="1:15" x14ac:dyDescent="0.25">
      <c r="A95" s="107"/>
      <c r="B95" s="39"/>
      <c r="C95" s="39"/>
      <c r="D95" s="95"/>
      <c r="E95" s="98" t="s">
        <v>304</v>
      </c>
      <c r="F95" s="39"/>
      <c r="G95" s="39"/>
      <c r="H95" s="65"/>
      <c r="I95" s="112" t="s">
        <v>314</v>
      </c>
      <c r="J95" s="112"/>
      <c r="K95" s="112"/>
      <c r="L95" s="112"/>
      <c r="M95" s="112"/>
      <c r="N95" s="112"/>
      <c r="O95" s="101" t="s">
        <v>416</v>
      </c>
    </row>
    <row r="96" spans="1:15" x14ac:dyDescent="0.25">
      <c r="A96" s="39"/>
      <c r="B96" s="39"/>
      <c r="C96" s="39"/>
      <c r="D96" s="39"/>
      <c r="E96" s="39"/>
      <c r="F96" s="99" t="s">
        <v>134</v>
      </c>
      <c r="G96" s="99" t="s">
        <v>44</v>
      </c>
      <c r="H96" s="26">
        <v>1</v>
      </c>
      <c r="I96" s="115"/>
      <c r="J96" s="115"/>
      <c r="K96" s="115"/>
      <c r="L96" s="115"/>
      <c r="M96" s="115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135</v>
      </c>
      <c r="G97" s="101" t="s">
        <v>44</v>
      </c>
      <c r="H97" s="22">
        <v>1</v>
      </c>
      <c r="I97" s="115"/>
      <c r="J97" s="115"/>
      <c r="K97" s="115"/>
      <c r="L97" s="115"/>
      <c r="M97" s="115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136</v>
      </c>
      <c r="G98" s="101" t="s">
        <v>44</v>
      </c>
      <c r="H98" s="22">
        <v>0.23499999999999999</v>
      </c>
      <c r="I98" s="115"/>
      <c r="J98" s="115"/>
      <c r="K98" s="115"/>
      <c r="L98" s="115"/>
      <c r="M98" s="115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137</v>
      </c>
      <c r="G99" s="101" t="s">
        <v>44</v>
      </c>
      <c r="H99" s="22">
        <v>0.23499999999999999</v>
      </c>
      <c r="I99" s="115"/>
      <c r="J99" s="115"/>
      <c r="K99" s="115"/>
      <c r="L99" s="115"/>
      <c r="M99" s="115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138</v>
      </c>
      <c r="G100" s="101" t="s">
        <v>44</v>
      </c>
      <c r="H100" s="22">
        <v>0.23499999999999999</v>
      </c>
      <c r="I100" s="115"/>
      <c r="J100" s="115"/>
      <c r="K100" s="115"/>
      <c r="L100" s="115"/>
      <c r="M100" s="115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139</v>
      </c>
      <c r="G101" s="101" t="s">
        <v>44</v>
      </c>
      <c r="H101" s="22">
        <v>0.23499999999999999</v>
      </c>
      <c r="I101" s="115"/>
      <c r="J101" s="115"/>
      <c r="K101" s="115"/>
      <c r="L101" s="115"/>
      <c r="M101" s="115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140</v>
      </c>
      <c r="G102" s="101" t="s">
        <v>44</v>
      </c>
      <c r="H102" s="22">
        <v>0.52569999999999995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141</v>
      </c>
      <c r="G103" s="101" t="s">
        <v>44</v>
      </c>
      <c r="H103" s="22">
        <v>0.52569999999999995</v>
      </c>
      <c r="I103" s="115"/>
      <c r="J103" s="115"/>
      <c r="K103" s="115"/>
      <c r="L103" s="115"/>
      <c r="M103" s="115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142</v>
      </c>
      <c r="G104" s="101" t="s">
        <v>44</v>
      </c>
      <c r="H104" s="22">
        <v>0.52569999999999995</v>
      </c>
      <c r="I104" s="115"/>
      <c r="J104" s="115"/>
      <c r="K104" s="115"/>
      <c r="L104" s="115"/>
      <c r="M104" s="115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143</v>
      </c>
      <c r="G105" s="101" t="s">
        <v>44</v>
      </c>
      <c r="H105" s="22">
        <v>0.52569999999999995</v>
      </c>
      <c r="I105" s="115"/>
      <c r="J105" s="115"/>
      <c r="K105" s="115"/>
      <c r="L105" s="115"/>
      <c r="M105" s="115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144</v>
      </c>
      <c r="G106" s="101" t="s">
        <v>44</v>
      </c>
      <c r="H106" s="22">
        <v>0.52569999999999995</v>
      </c>
      <c r="I106" s="115"/>
      <c r="J106" s="115"/>
      <c r="K106" s="115"/>
      <c r="L106" s="115"/>
      <c r="M106" s="115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188</v>
      </c>
      <c r="G107" s="101" t="s">
        <v>44</v>
      </c>
      <c r="H107" s="22">
        <v>0.52569999999999995</v>
      </c>
      <c r="I107" s="115"/>
      <c r="J107" s="115"/>
      <c r="K107" s="115"/>
      <c r="L107" s="115"/>
      <c r="M107" s="115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146</v>
      </c>
      <c r="G108" s="101" t="s">
        <v>44</v>
      </c>
      <c r="H108" s="22">
        <v>0.52569999999999995</v>
      </c>
      <c r="I108" s="115"/>
      <c r="J108" s="115"/>
      <c r="K108" s="115"/>
      <c r="L108" s="115"/>
      <c r="M108" s="115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147</v>
      </c>
      <c r="G109" s="101" t="s">
        <v>44</v>
      </c>
      <c r="H109" s="22">
        <v>0.52569999999999995</v>
      </c>
      <c r="I109" s="115"/>
      <c r="J109" s="115"/>
      <c r="K109" s="115"/>
      <c r="L109" s="115"/>
      <c r="M109" s="115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148</v>
      </c>
      <c r="G110" s="101" t="s">
        <v>44</v>
      </c>
      <c r="H110" s="22">
        <v>0.52569999999999995</v>
      </c>
      <c r="I110" s="115"/>
      <c r="J110" s="115"/>
      <c r="K110" s="115"/>
      <c r="L110" s="115"/>
      <c r="M110" s="115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149</v>
      </c>
      <c r="G111" s="101" t="s">
        <v>44</v>
      </c>
      <c r="H111" s="22">
        <v>0.52569999999999995</v>
      </c>
      <c r="I111" s="115"/>
      <c r="J111" s="115"/>
      <c r="K111" s="115"/>
      <c r="L111" s="115"/>
      <c r="M111" s="115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150</v>
      </c>
      <c r="G112" s="101" t="s">
        <v>44</v>
      </c>
      <c r="H112" s="22">
        <v>0.52569999999999995</v>
      </c>
      <c r="I112" s="115"/>
      <c r="J112" s="115"/>
      <c r="K112" s="115"/>
      <c r="L112" s="115"/>
      <c r="M112" s="115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151</v>
      </c>
      <c r="G113" s="101" t="s">
        <v>44</v>
      </c>
      <c r="H113" s="22">
        <v>0.52569999999999995</v>
      </c>
      <c r="I113" s="115"/>
      <c r="J113" s="115"/>
      <c r="K113" s="115"/>
      <c r="L113" s="115"/>
      <c r="M113" s="115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152</v>
      </c>
      <c r="G114" s="101" t="s">
        <v>44</v>
      </c>
      <c r="H114" s="22">
        <v>0.52569999999999995</v>
      </c>
      <c r="I114" s="115"/>
      <c r="J114" s="115"/>
      <c r="K114" s="115"/>
      <c r="L114" s="115"/>
      <c r="M114" s="115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153</v>
      </c>
      <c r="G115" s="101" t="s">
        <v>44</v>
      </c>
      <c r="H115" s="22">
        <v>0.52569999999999995</v>
      </c>
      <c r="I115" s="115"/>
      <c r="J115" s="115"/>
      <c r="K115" s="115"/>
      <c r="L115" s="115"/>
      <c r="M115" s="115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154</v>
      </c>
      <c r="G116" s="101" t="s">
        <v>44</v>
      </c>
      <c r="H116" s="22">
        <v>0.52569999999999995</v>
      </c>
      <c r="I116" s="115"/>
      <c r="J116" s="115"/>
      <c r="K116" s="115"/>
      <c r="L116" s="115"/>
      <c r="M116" s="115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155</v>
      </c>
      <c r="G117" s="101" t="s">
        <v>44</v>
      </c>
      <c r="H117" s="22"/>
      <c r="I117" s="115"/>
      <c r="J117" s="115"/>
      <c r="K117" s="115"/>
      <c r="L117" s="115"/>
      <c r="M117" s="115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156</v>
      </c>
      <c r="G118" s="101" t="s">
        <v>44</v>
      </c>
      <c r="H118" s="22">
        <v>0.57699999999999996</v>
      </c>
      <c r="I118" s="115"/>
      <c r="J118" s="115"/>
      <c r="K118" s="115"/>
      <c r="L118" s="115"/>
      <c r="M118" s="115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157</v>
      </c>
      <c r="G119" s="101" t="s">
        <v>44</v>
      </c>
      <c r="H119" s="22"/>
      <c r="I119" s="115"/>
      <c r="J119" s="115"/>
      <c r="K119" s="115"/>
      <c r="L119" s="115"/>
      <c r="M119" s="115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158</v>
      </c>
      <c r="G120" s="101" t="s">
        <v>44</v>
      </c>
      <c r="H120" s="22"/>
      <c r="I120" s="115"/>
      <c r="J120" s="115"/>
      <c r="K120" s="115"/>
      <c r="L120" s="115"/>
      <c r="M120" s="115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159</v>
      </c>
      <c r="G121" s="101" t="s">
        <v>44</v>
      </c>
      <c r="H121" s="22"/>
      <c r="I121" s="115"/>
      <c r="J121" s="115"/>
      <c r="K121" s="115"/>
      <c r="L121" s="115"/>
      <c r="M121" s="115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160</v>
      </c>
      <c r="G122" s="101" t="s">
        <v>44</v>
      </c>
      <c r="H122" s="22"/>
      <c r="I122" s="115"/>
      <c r="J122" s="115"/>
      <c r="K122" s="115"/>
      <c r="L122" s="115"/>
      <c r="M122" s="115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161</v>
      </c>
      <c r="G123" s="101" t="s">
        <v>44</v>
      </c>
      <c r="H123" s="22"/>
      <c r="I123" s="115"/>
      <c r="J123" s="115"/>
      <c r="K123" s="115"/>
      <c r="L123" s="115"/>
      <c r="M123" s="115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162</v>
      </c>
      <c r="G124" s="101" t="s">
        <v>44</v>
      </c>
      <c r="H124" s="22"/>
      <c r="I124" s="115"/>
      <c r="J124" s="115"/>
      <c r="K124" s="115"/>
      <c r="L124" s="115"/>
      <c r="M124" s="115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163</v>
      </c>
      <c r="G125" s="101" t="s">
        <v>44</v>
      </c>
      <c r="H125" s="22"/>
      <c r="I125" s="115"/>
      <c r="J125" s="115"/>
      <c r="K125" s="115"/>
      <c r="L125" s="115"/>
      <c r="M125" s="115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164</v>
      </c>
      <c r="G126" s="101" t="s">
        <v>44</v>
      </c>
      <c r="H126" s="22"/>
      <c r="I126" s="115"/>
      <c r="J126" s="115"/>
      <c r="K126" s="115"/>
      <c r="L126" s="115"/>
      <c r="M126" s="115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189</v>
      </c>
      <c r="G127" s="101" t="s">
        <v>44</v>
      </c>
      <c r="H127" s="22"/>
      <c r="I127" s="115"/>
      <c r="J127" s="115"/>
      <c r="K127" s="115"/>
      <c r="L127" s="115"/>
      <c r="M127" s="115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728</v>
      </c>
      <c r="G128" s="187" t="s">
        <v>44</v>
      </c>
      <c r="H128" s="22"/>
      <c r="I128" s="115"/>
      <c r="J128" s="115"/>
      <c r="K128" s="115"/>
      <c r="L128" s="115"/>
      <c r="M128" s="115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727</v>
      </c>
      <c r="G129" s="187" t="s">
        <v>44</v>
      </c>
      <c r="H129" s="22"/>
      <c r="I129" s="115"/>
      <c r="J129" s="115"/>
      <c r="K129" s="115"/>
      <c r="L129" s="115"/>
      <c r="M129" s="115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3" t="s">
        <v>755</v>
      </c>
      <c r="G130" s="188" t="s">
        <v>44</v>
      </c>
      <c r="H130" s="27"/>
      <c r="I130" s="115"/>
      <c r="J130" s="115"/>
      <c r="K130" s="115"/>
      <c r="L130" s="115"/>
      <c r="M130" s="115"/>
      <c r="N130" s="65"/>
      <c r="O130" s="39"/>
    </row>
    <row r="131" spans="1:15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39"/>
    </row>
    <row r="132" spans="1:15" x14ac:dyDescent="0.25">
      <c r="A132" s="39"/>
      <c r="B132" s="39"/>
      <c r="C132" s="96" t="s">
        <v>616</v>
      </c>
      <c r="D132" s="96"/>
      <c r="E132" s="96"/>
      <c r="F132" s="96"/>
      <c r="G132" s="96"/>
      <c r="H132" s="97"/>
      <c r="I132" s="97"/>
      <c r="J132" s="97"/>
      <c r="K132" s="97"/>
      <c r="L132" s="97"/>
      <c r="M132" s="97"/>
      <c r="N132" s="97"/>
      <c r="O132" s="96"/>
    </row>
    <row r="133" spans="1:15" x14ac:dyDescent="0.25">
      <c r="A133" s="39"/>
      <c r="B133" s="39"/>
      <c r="C133" s="95"/>
      <c r="D133" s="95"/>
      <c r="E133" s="39"/>
      <c r="F133" s="39"/>
      <c r="G133" s="39"/>
      <c r="H133" s="65"/>
      <c r="I133" s="65"/>
      <c r="J133" s="65"/>
      <c r="K133" s="65"/>
      <c r="L133" s="65"/>
      <c r="M133" s="65"/>
      <c r="N133" s="65"/>
      <c r="O133" s="39"/>
    </row>
    <row r="134" spans="1:15" x14ac:dyDescent="0.25">
      <c r="A134" s="39"/>
      <c r="B134" s="39"/>
      <c r="C134" s="95"/>
      <c r="D134" s="95" t="s">
        <v>561</v>
      </c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39"/>
    </row>
    <row r="135" spans="1:15" x14ac:dyDescent="0.25">
      <c r="A135" s="39"/>
      <c r="B135" s="39"/>
      <c r="C135" s="95"/>
      <c r="D135" s="95" t="s">
        <v>675</v>
      </c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39"/>
    </row>
    <row r="136" spans="1:15" x14ac:dyDescent="0.25">
      <c r="A136" s="39"/>
      <c r="B136" s="39"/>
      <c r="C136" s="95"/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39"/>
    </row>
    <row r="137" spans="1:15" x14ac:dyDescent="0.25">
      <c r="A137" s="39"/>
      <c r="B137" s="39"/>
      <c r="C137" s="39"/>
      <c r="D137" s="95"/>
      <c r="E137" s="98" t="s">
        <v>190</v>
      </c>
      <c r="F137" s="39"/>
      <c r="G137" s="39"/>
      <c r="H137" s="65"/>
      <c r="I137" s="65"/>
      <c r="J137" s="65"/>
      <c r="K137" s="65"/>
      <c r="L137" s="65"/>
      <c r="M137" s="65"/>
      <c r="N137" s="65"/>
      <c r="O137" s="39"/>
    </row>
    <row r="138" spans="1:15" x14ac:dyDescent="0.25">
      <c r="A138" s="39"/>
      <c r="B138" s="39"/>
      <c r="C138" s="39"/>
      <c r="D138" s="39"/>
      <c r="E138" s="39"/>
      <c r="F138" s="99" t="s">
        <v>180</v>
      </c>
      <c r="G138" s="99" t="s">
        <v>191</v>
      </c>
      <c r="H138" s="28">
        <v>1</v>
      </c>
      <c r="I138" s="116"/>
      <c r="J138" s="116"/>
      <c r="K138" s="116"/>
      <c r="L138" s="116"/>
      <c r="M138" s="116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3" t="s">
        <v>182</v>
      </c>
      <c r="G139" s="103" t="s">
        <v>191</v>
      </c>
      <c r="H139" s="29"/>
      <c r="I139" s="116"/>
      <c r="J139" s="116"/>
      <c r="K139" s="116"/>
      <c r="L139" s="116"/>
      <c r="M139" s="116"/>
      <c r="N139" s="65"/>
      <c r="O139" s="39"/>
    </row>
    <row r="140" spans="1:15" x14ac:dyDescent="0.25">
      <c r="A140" s="39"/>
      <c r="B140" s="39"/>
      <c r="C140" s="39"/>
      <c r="D140" s="39"/>
      <c r="E140" s="39"/>
      <c r="F140" s="39"/>
      <c r="G140" s="39"/>
      <c r="H140" s="65"/>
      <c r="I140" s="65"/>
      <c r="J140" s="65"/>
      <c r="K140" s="65"/>
      <c r="L140" s="65"/>
      <c r="M140" s="65"/>
      <c r="N140" s="65"/>
      <c r="O140" s="39"/>
    </row>
    <row r="141" spans="1:15" x14ac:dyDescent="0.25">
      <c r="A141" s="107"/>
      <c r="B141" s="39"/>
      <c r="C141" s="39"/>
      <c r="D141" s="39"/>
      <c r="E141" s="98" t="s">
        <v>678</v>
      </c>
      <c r="F141" s="39"/>
      <c r="G141" s="39"/>
      <c r="H141" s="65"/>
      <c r="I141" s="112" t="s">
        <v>314</v>
      </c>
      <c r="J141" s="112"/>
      <c r="K141" s="112"/>
      <c r="L141" s="112"/>
      <c r="M141" s="112"/>
      <c r="N141" s="112"/>
      <c r="O141" s="101" t="s">
        <v>416</v>
      </c>
    </row>
    <row r="142" spans="1:15" x14ac:dyDescent="0.25">
      <c r="A142" s="39"/>
      <c r="B142" s="39"/>
      <c r="C142" s="39"/>
      <c r="D142" s="39"/>
      <c r="E142" s="39"/>
      <c r="F142" s="99" t="s">
        <v>134</v>
      </c>
      <c r="G142" s="99" t="s">
        <v>191</v>
      </c>
      <c r="H142" s="28">
        <v>1</v>
      </c>
      <c r="I142" s="116"/>
      <c r="J142" s="116"/>
      <c r="K142" s="116"/>
      <c r="L142" s="116"/>
      <c r="M142" s="116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135</v>
      </c>
      <c r="G143" s="101" t="s">
        <v>191</v>
      </c>
      <c r="H143" s="30">
        <v>1</v>
      </c>
      <c r="I143" s="116"/>
      <c r="J143" s="116"/>
      <c r="K143" s="116"/>
      <c r="L143" s="116"/>
      <c r="M143" s="116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136</v>
      </c>
      <c r="G144" s="101" t="s">
        <v>191</v>
      </c>
      <c r="H144" s="30">
        <v>1</v>
      </c>
      <c r="I144" s="116"/>
      <c r="J144" s="116"/>
      <c r="K144" s="116"/>
      <c r="L144" s="116"/>
      <c r="M144" s="116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137</v>
      </c>
      <c r="G145" s="101" t="s">
        <v>191</v>
      </c>
      <c r="H145" s="30">
        <v>1</v>
      </c>
      <c r="I145" s="116"/>
      <c r="J145" s="116"/>
      <c r="K145" s="116"/>
      <c r="L145" s="116"/>
      <c r="M145" s="116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138</v>
      </c>
      <c r="G146" s="101" t="s">
        <v>191</v>
      </c>
      <c r="H146" s="30">
        <v>1</v>
      </c>
      <c r="I146" s="116"/>
      <c r="J146" s="116"/>
      <c r="K146" s="116"/>
      <c r="L146" s="116"/>
      <c r="M146" s="116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139</v>
      </c>
      <c r="G147" s="101" t="s">
        <v>191</v>
      </c>
      <c r="H147" s="30">
        <v>1</v>
      </c>
      <c r="I147" s="116"/>
      <c r="J147" s="116"/>
      <c r="K147" s="116"/>
      <c r="L147" s="116"/>
      <c r="M147" s="116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140</v>
      </c>
      <c r="G148" s="101" t="s">
        <v>191</v>
      </c>
      <c r="H148" s="30"/>
      <c r="I148" s="116"/>
      <c r="J148" s="116"/>
      <c r="K148" s="116"/>
      <c r="L148" s="116"/>
      <c r="M148" s="116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141</v>
      </c>
      <c r="G149" s="101" t="s">
        <v>191</v>
      </c>
      <c r="H149" s="30"/>
      <c r="I149" s="116"/>
      <c r="J149" s="116"/>
      <c r="K149" s="116"/>
      <c r="L149" s="116"/>
      <c r="M149" s="116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142</v>
      </c>
      <c r="G150" s="101" t="s">
        <v>191</v>
      </c>
      <c r="H150" s="30"/>
      <c r="I150" s="116"/>
      <c r="J150" s="116"/>
      <c r="K150" s="116"/>
      <c r="L150" s="116"/>
      <c r="M150" s="116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143</v>
      </c>
      <c r="G151" s="101" t="s">
        <v>191</v>
      </c>
      <c r="H151" s="30"/>
      <c r="I151" s="116"/>
      <c r="J151" s="116"/>
      <c r="K151" s="116"/>
      <c r="L151" s="116"/>
      <c r="M151" s="116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144</v>
      </c>
      <c r="G152" s="101" t="s">
        <v>191</v>
      </c>
      <c r="H152" s="30"/>
      <c r="I152" s="116"/>
      <c r="J152" s="116"/>
      <c r="K152" s="116"/>
      <c r="L152" s="116"/>
      <c r="M152" s="116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188</v>
      </c>
      <c r="G153" s="101" t="s">
        <v>191</v>
      </c>
      <c r="H153" s="30"/>
      <c r="I153" s="116"/>
      <c r="J153" s="116"/>
      <c r="K153" s="116"/>
      <c r="L153" s="116"/>
      <c r="M153" s="116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146</v>
      </c>
      <c r="G154" s="101" t="s">
        <v>191</v>
      </c>
      <c r="H154" s="30"/>
      <c r="I154" s="116"/>
      <c r="J154" s="116"/>
      <c r="K154" s="116"/>
      <c r="L154" s="116"/>
      <c r="M154" s="116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147</v>
      </c>
      <c r="G155" s="101" t="s">
        <v>191</v>
      </c>
      <c r="H155" s="30"/>
      <c r="I155" s="116"/>
      <c r="J155" s="116"/>
      <c r="K155" s="116"/>
      <c r="L155" s="116"/>
      <c r="M155" s="116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148</v>
      </c>
      <c r="G156" s="101" t="s">
        <v>191</v>
      </c>
      <c r="H156" s="30"/>
      <c r="I156" s="116"/>
      <c r="J156" s="116"/>
      <c r="K156" s="116"/>
      <c r="L156" s="116"/>
      <c r="M156" s="116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149</v>
      </c>
      <c r="G157" s="101" t="s">
        <v>191</v>
      </c>
      <c r="H157" s="30"/>
      <c r="I157" s="116"/>
      <c r="J157" s="116"/>
      <c r="K157" s="116"/>
      <c r="L157" s="116"/>
      <c r="M157" s="116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150</v>
      </c>
      <c r="G158" s="101" t="s">
        <v>191</v>
      </c>
      <c r="H158" s="30"/>
      <c r="I158" s="116"/>
      <c r="J158" s="116"/>
      <c r="K158" s="116"/>
      <c r="L158" s="116"/>
      <c r="M158" s="116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151</v>
      </c>
      <c r="G159" s="101" t="s">
        <v>191</v>
      </c>
      <c r="H159" s="30"/>
      <c r="I159" s="116"/>
      <c r="J159" s="116"/>
      <c r="K159" s="116"/>
      <c r="L159" s="116"/>
      <c r="M159" s="116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152</v>
      </c>
      <c r="G160" s="101" t="s">
        <v>191</v>
      </c>
      <c r="H160" s="30"/>
      <c r="I160" s="116"/>
      <c r="J160" s="116"/>
      <c r="K160" s="116"/>
      <c r="L160" s="116"/>
      <c r="M160" s="116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153</v>
      </c>
      <c r="G161" s="101" t="s">
        <v>191</v>
      </c>
      <c r="H161" s="30"/>
      <c r="I161" s="116"/>
      <c r="J161" s="116"/>
      <c r="K161" s="116"/>
      <c r="L161" s="116"/>
      <c r="M161" s="116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154</v>
      </c>
      <c r="G162" s="101" t="s">
        <v>191</v>
      </c>
      <c r="H162" s="30"/>
      <c r="I162" s="116"/>
      <c r="J162" s="116"/>
      <c r="K162" s="116"/>
      <c r="L162" s="116"/>
      <c r="M162" s="116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155</v>
      </c>
      <c r="G163" s="101" t="s">
        <v>191</v>
      </c>
      <c r="H163" s="30">
        <v>1</v>
      </c>
      <c r="I163" s="116"/>
      <c r="J163" s="116"/>
      <c r="K163" s="116"/>
      <c r="L163" s="116"/>
      <c r="M163" s="116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1" t="s">
        <v>156</v>
      </c>
      <c r="G164" s="101" t="s">
        <v>191</v>
      </c>
      <c r="H164" s="30">
        <v>1</v>
      </c>
      <c r="I164" s="116"/>
      <c r="J164" s="116"/>
      <c r="K164" s="116"/>
      <c r="L164" s="116"/>
      <c r="M164" s="116"/>
      <c r="N164" s="65"/>
      <c r="O164" s="39"/>
    </row>
    <row r="165" spans="1:15" x14ac:dyDescent="0.25">
      <c r="A165" s="39"/>
      <c r="B165" s="39"/>
      <c r="C165" s="39"/>
      <c r="D165" s="39"/>
      <c r="E165" s="39"/>
      <c r="F165" s="101" t="s">
        <v>157</v>
      </c>
      <c r="G165" s="101" t="s">
        <v>191</v>
      </c>
      <c r="H165" s="30">
        <v>1</v>
      </c>
      <c r="I165" s="116"/>
      <c r="J165" s="116"/>
      <c r="K165" s="116"/>
      <c r="L165" s="116"/>
      <c r="M165" s="116"/>
      <c r="N165" s="65"/>
      <c r="O165" s="39"/>
    </row>
    <row r="166" spans="1:15" x14ac:dyDescent="0.25">
      <c r="A166" s="39"/>
      <c r="B166" s="39"/>
      <c r="C166" s="39"/>
      <c r="D166" s="39"/>
      <c r="E166" s="39"/>
      <c r="F166" s="101" t="s">
        <v>158</v>
      </c>
      <c r="G166" s="101" t="s">
        <v>191</v>
      </c>
      <c r="H166" s="30">
        <v>1</v>
      </c>
      <c r="I166" s="116"/>
      <c r="J166" s="116"/>
      <c r="K166" s="116"/>
      <c r="L166" s="116"/>
      <c r="M166" s="116"/>
      <c r="N166" s="65"/>
      <c r="O166" s="39"/>
    </row>
    <row r="167" spans="1:15" x14ac:dyDescent="0.25">
      <c r="A167" s="39"/>
      <c r="B167" s="39"/>
      <c r="C167" s="39"/>
      <c r="D167" s="39"/>
      <c r="E167" s="39"/>
      <c r="F167" s="101" t="s">
        <v>159</v>
      </c>
      <c r="G167" s="101" t="s">
        <v>191</v>
      </c>
      <c r="H167" s="30">
        <v>1</v>
      </c>
      <c r="I167" s="116"/>
      <c r="J167" s="116"/>
      <c r="K167" s="116"/>
      <c r="L167" s="116"/>
      <c r="M167" s="116"/>
      <c r="N167" s="65"/>
      <c r="O167" s="39"/>
    </row>
    <row r="168" spans="1:15" x14ac:dyDescent="0.25">
      <c r="A168" s="39"/>
      <c r="B168" s="39"/>
      <c r="C168" s="39"/>
      <c r="D168" s="39"/>
      <c r="E168" s="39"/>
      <c r="F168" s="101" t="s">
        <v>160</v>
      </c>
      <c r="G168" s="101" t="s">
        <v>191</v>
      </c>
      <c r="H168" s="30">
        <v>1</v>
      </c>
      <c r="I168" s="116"/>
      <c r="J168" s="116"/>
      <c r="K168" s="116"/>
      <c r="L168" s="116"/>
      <c r="M168" s="116"/>
      <c r="N168" s="65"/>
      <c r="O168" s="39"/>
    </row>
    <row r="169" spans="1:15" x14ac:dyDescent="0.25">
      <c r="A169" s="39"/>
      <c r="B169" s="39"/>
      <c r="C169" s="39"/>
      <c r="D169" s="39"/>
      <c r="E169" s="39"/>
      <c r="F169" s="101" t="s">
        <v>161</v>
      </c>
      <c r="G169" s="101" t="s">
        <v>191</v>
      </c>
      <c r="H169" s="30">
        <v>1</v>
      </c>
      <c r="I169" s="116"/>
      <c r="J169" s="116"/>
      <c r="K169" s="116"/>
      <c r="L169" s="116"/>
      <c r="M169" s="116"/>
      <c r="N169" s="65"/>
      <c r="O169" s="39"/>
    </row>
    <row r="170" spans="1:15" x14ac:dyDescent="0.25">
      <c r="A170" s="39"/>
      <c r="B170" s="39"/>
      <c r="C170" s="39"/>
      <c r="D170" s="39"/>
      <c r="E170" s="39"/>
      <c r="F170" s="101" t="s">
        <v>162</v>
      </c>
      <c r="G170" s="101" t="s">
        <v>191</v>
      </c>
      <c r="H170" s="30">
        <v>1</v>
      </c>
      <c r="I170" s="116"/>
      <c r="J170" s="116"/>
      <c r="K170" s="116"/>
      <c r="L170" s="116"/>
      <c r="M170" s="116"/>
      <c r="N170" s="65"/>
      <c r="O170" s="39"/>
    </row>
    <row r="171" spans="1:15" x14ac:dyDescent="0.25">
      <c r="A171" s="39"/>
      <c r="B171" s="39"/>
      <c r="C171" s="39"/>
      <c r="D171" s="39"/>
      <c r="E171" s="39"/>
      <c r="F171" s="101" t="s">
        <v>163</v>
      </c>
      <c r="G171" s="101" t="s">
        <v>191</v>
      </c>
      <c r="H171" s="30">
        <v>1</v>
      </c>
      <c r="I171" s="116"/>
      <c r="J171" s="116"/>
      <c r="K171" s="116"/>
      <c r="L171" s="116"/>
      <c r="M171" s="116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164</v>
      </c>
      <c r="G172" s="101" t="s">
        <v>191</v>
      </c>
      <c r="H172" s="30">
        <v>1</v>
      </c>
      <c r="I172" s="116"/>
      <c r="J172" s="116"/>
      <c r="K172" s="116"/>
      <c r="L172" s="116"/>
      <c r="M172" s="116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189</v>
      </c>
      <c r="G173" s="101" t="s">
        <v>191</v>
      </c>
      <c r="H173" s="30">
        <v>1</v>
      </c>
      <c r="I173" s="116"/>
      <c r="J173" s="116"/>
      <c r="K173" s="116"/>
      <c r="L173" s="116"/>
      <c r="M173" s="116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728</v>
      </c>
      <c r="G174" s="187" t="s">
        <v>191</v>
      </c>
      <c r="H174" s="30"/>
      <c r="I174" s="116" t="s">
        <v>314</v>
      </c>
      <c r="J174" s="116"/>
      <c r="K174" s="116"/>
      <c r="L174" s="116"/>
      <c r="M174" s="116"/>
      <c r="N174" s="65"/>
      <c r="O174" s="39" t="s">
        <v>735</v>
      </c>
    </row>
    <row r="175" spans="1:15" x14ac:dyDescent="0.25">
      <c r="A175" s="39"/>
      <c r="B175" s="39"/>
      <c r="C175" s="39"/>
      <c r="D175" s="39"/>
      <c r="E175" s="39"/>
      <c r="F175" s="101" t="s">
        <v>727</v>
      </c>
      <c r="G175" s="187" t="s">
        <v>191</v>
      </c>
      <c r="H175" s="30">
        <v>1</v>
      </c>
      <c r="I175" s="116" t="s">
        <v>314</v>
      </c>
      <c r="J175" s="116"/>
      <c r="K175" s="116"/>
      <c r="L175" s="116"/>
      <c r="M175" s="116"/>
      <c r="N175" s="65"/>
      <c r="O175" s="39" t="s">
        <v>735</v>
      </c>
    </row>
    <row r="176" spans="1:15" x14ac:dyDescent="0.25">
      <c r="A176" s="39"/>
      <c r="B176" s="39"/>
      <c r="C176" s="39"/>
      <c r="D176" s="39"/>
      <c r="E176" s="39"/>
      <c r="F176" s="103" t="s">
        <v>755</v>
      </c>
      <c r="G176" s="188" t="s">
        <v>191</v>
      </c>
      <c r="H176" s="29"/>
      <c r="I176" s="116" t="s">
        <v>314</v>
      </c>
      <c r="J176" s="114"/>
      <c r="K176" s="114"/>
      <c r="L176" s="114"/>
      <c r="M176" s="114"/>
      <c r="N176" s="65"/>
      <c r="O176" s="39" t="s">
        <v>754</v>
      </c>
    </row>
    <row r="177" spans="1:15" x14ac:dyDescent="0.25">
      <c r="A177" s="39"/>
      <c r="B177" s="39"/>
      <c r="C177" s="39"/>
      <c r="D177" s="39"/>
      <c r="E177" s="39"/>
      <c r="F177" s="39"/>
      <c r="G177" s="39"/>
      <c r="H177" s="65"/>
      <c r="I177" s="65"/>
      <c r="J177" s="65"/>
      <c r="K177" s="65"/>
      <c r="L177" s="65"/>
      <c r="M177" s="65"/>
      <c r="N177" s="65"/>
      <c r="O177" s="39"/>
    </row>
    <row r="178" spans="1:15" x14ac:dyDescent="0.25">
      <c r="A178" s="39"/>
      <c r="B178" s="39"/>
      <c r="C178" s="96" t="s">
        <v>665</v>
      </c>
      <c r="D178" s="96"/>
      <c r="E178" s="96"/>
      <c r="F178" s="96"/>
      <c r="G178" s="96"/>
      <c r="H178" s="97"/>
      <c r="I178" s="97"/>
      <c r="J178" s="97"/>
      <c r="K178" s="97"/>
      <c r="L178" s="97"/>
      <c r="M178" s="97"/>
      <c r="N178" s="97"/>
      <c r="O178" s="96"/>
    </row>
    <row r="179" spans="1:15" x14ac:dyDescent="0.25">
      <c r="A179" s="39"/>
      <c r="B179" s="39"/>
      <c r="C179" s="95"/>
      <c r="D179" s="95"/>
      <c r="E179" s="39"/>
      <c r="F179" s="39"/>
      <c r="G179" s="39"/>
      <c r="H179" s="65"/>
      <c r="I179" s="65"/>
      <c r="J179" s="65"/>
      <c r="K179" s="65"/>
      <c r="L179" s="65"/>
      <c r="M179" s="65"/>
      <c r="N179" s="65"/>
      <c r="O179" s="39"/>
    </row>
    <row r="180" spans="1:15" x14ac:dyDescent="0.25">
      <c r="A180" s="39"/>
      <c r="B180" s="39"/>
      <c r="C180" s="95"/>
      <c r="D180" s="95" t="s">
        <v>676</v>
      </c>
      <c r="E180" s="39"/>
      <c r="F180" s="39"/>
      <c r="G180" s="39"/>
      <c r="H180" s="65"/>
      <c r="I180" s="65"/>
      <c r="J180" s="65"/>
      <c r="K180" s="65"/>
      <c r="L180" s="65"/>
      <c r="M180" s="65"/>
      <c r="N180" s="65"/>
      <c r="O180" s="39"/>
    </row>
    <row r="181" spans="1:15" x14ac:dyDescent="0.25">
      <c r="A181" s="39"/>
      <c r="B181" s="39"/>
      <c r="C181" s="95"/>
      <c r="D181" s="95"/>
      <c r="E181" s="39"/>
      <c r="F181" s="39"/>
      <c r="G181" s="39"/>
      <c r="H181" s="65"/>
      <c r="I181" s="65"/>
      <c r="J181" s="65"/>
      <c r="K181" s="65"/>
      <c r="L181" s="65"/>
      <c r="M181" s="65"/>
      <c r="N181" s="65"/>
      <c r="O181" s="39"/>
    </row>
    <row r="182" spans="1:15" x14ac:dyDescent="0.25">
      <c r="A182" s="39"/>
      <c r="B182" s="39"/>
      <c r="C182" s="39"/>
      <c r="D182" s="95"/>
      <c r="E182" s="98" t="s">
        <v>192</v>
      </c>
      <c r="F182" s="39"/>
      <c r="G182" s="39"/>
      <c r="H182" s="65"/>
      <c r="I182" s="65"/>
      <c r="J182" s="65"/>
      <c r="K182" s="65"/>
      <c r="L182" s="65"/>
      <c r="M182" s="65"/>
      <c r="N182" s="65"/>
      <c r="O182" s="39"/>
    </row>
    <row r="183" spans="1:15" x14ac:dyDescent="0.25">
      <c r="A183" s="39"/>
      <c r="B183" s="39"/>
      <c r="C183" s="39"/>
      <c r="D183" s="39"/>
      <c r="E183" s="39"/>
      <c r="F183" s="99" t="s">
        <v>180</v>
      </c>
      <c r="G183" s="99" t="s">
        <v>198</v>
      </c>
      <c r="H183" s="31" t="s">
        <v>193</v>
      </c>
      <c r="I183" s="114"/>
      <c r="J183" s="114"/>
      <c r="K183" s="114"/>
      <c r="L183" s="114"/>
      <c r="M183" s="114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182</v>
      </c>
      <c r="G184" s="101" t="s">
        <v>198</v>
      </c>
      <c r="H184" s="24" t="s">
        <v>194</v>
      </c>
      <c r="I184" s="114"/>
      <c r="J184" s="114"/>
      <c r="K184" s="114"/>
      <c r="L184" s="114"/>
      <c r="M184" s="114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184</v>
      </c>
      <c r="G185" s="101" t="s">
        <v>198</v>
      </c>
      <c r="H185" s="24" t="s">
        <v>41</v>
      </c>
      <c r="I185" s="114"/>
      <c r="J185" s="114"/>
      <c r="K185" s="114"/>
      <c r="L185" s="114"/>
      <c r="M185" s="114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195</v>
      </c>
      <c r="G186" s="101" t="s">
        <v>198</v>
      </c>
      <c r="H186" s="24" t="s">
        <v>40</v>
      </c>
      <c r="I186" s="114"/>
      <c r="J186" s="114"/>
      <c r="K186" s="114"/>
      <c r="L186" s="114"/>
      <c r="M186" s="114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3" t="s">
        <v>196</v>
      </c>
      <c r="G187" s="103" t="s">
        <v>198</v>
      </c>
      <c r="H187" s="25" t="s">
        <v>166</v>
      </c>
      <c r="I187" s="114"/>
      <c r="J187" s="114"/>
      <c r="K187" s="114"/>
      <c r="L187" s="114"/>
      <c r="M187" s="114"/>
      <c r="N187" s="65"/>
      <c r="O187" s="39"/>
    </row>
    <row r="188" spans="1:15" x14ac:dyDescent="0.25">
      <c r="A188" s="39"/>
      <c r="B188" s="39"/>
      <c r="C188" s="39"/>
      <c r="D188" s="39"/>
      <c r="E188" s="39"/>
      <c r="F188" s="39"/>
      <c r="G188" s="39"/>
      <c r="H188" s="65"/>
      <c r="I188" s="65"/>
      <c r="J188" s="65"/>
      <c r="K188" s="65"/>
      <c r="L188" s="65"/>
      <c r="M188" s="65"/>
      <c r="N188" s="65"/>
      <c r="O188" s="39"/>
    </row>
    <row r="189" spans="1:15" x14ac:dyDescent="0.25">
      <c r="A189" s="107"/>
      <c r="B189" s="39"/>
      <c r="C189" s="39"/>
      <c r="D189" s="39"/>
      <c r="E189" s="98" t="s">
        <v>677</v>
      </c>
      <c r="F189" s="39"/>
      <c r="G189" s="39"/>
      <c r="H189" s="65"/>
      <c r="I189" s="112" t="s">
        <v>314</v>
      </c>
      <c r="J189" s="112"/>
      <c r="K189" s="112"/>
      <c r="L189" s="112"/>
      <c r="M189" s="112"/>
      <c r="N189" s="112"/>
      <c r="O189" s="101" t="s">
        <v>358</v>
      </c>
    </row>
    <row r="190" spans="1:15" x14ac:dyDescent="0.25">
      <c r="A190" s="39"/>
      <c r="B190" s="39"/>
      <c r="C190" s="39"/>
      <c r="D190" s="39"/>
      <c r="E190" s="39"/>
      <c r="F190" s="99" t="s">
        <v>197</v>
      </c>
      <c r="G190" s="99" t="s">
        <v>198</v>
      </c>
      <c r="H190" s="31" t="s">
        <v>194</v>
      </c>
      <c r="I190" s="114"/>
      <c r="J190" s="114"/>
      <c r="K190" s="114"/>
      <c r="L190" s="114"/>
      <c r="M190" s="114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199</v>
      </c>
      <c r="G191" s="101" t="s">
        <v>198</v>
      </c>
      <c r="H191" s="24" t="s">
        <v>193</v>
      </c>
      <c r="I191" s="114"/>
      <c r="J191" s="114"/>
      <c r="K191" s="114"/>
      <c r="L191" s="114"/>
      <c r="M191" s="114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50</v>
      </c>
      <c r="G192" s="101" t="s">
        <v>198</v>
      </c>
      <c r="H192" s="24" t="s">
        <v>194</v>
      </c>
      <c r="I192" s="114"/>
      <c r="J192" s="114"/>
      <c r="K192" s="114"/>
      <c r="L192" s="114"/>
      <c r="M192" s="114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200</v>
      </c>
      <c r="G193" s="101" t="s">
        <v>198</v>
      </c>
      <c r="H193" s="24" t="s">
        <v>194</v>
      </c>
      <c r="I193" s="114"/>
      <c r="J193" s="114"/>
      <c r="K193" s="114"/>
      <c r="L193" s="114"/>
      <c r="M193" s="114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201</v>
      </c>
      <c r="G194" s="101" t="s">
        <v>198</v>
      </c>
      <c r="H194" s="24" t="s">
        <v>194</v>
      </c>
      <c r="I194" s="114"/>
      <c r="J194" s="114"/>
      <c r="K194" s="114"/>
      <c r="L194" s="114"/>
      <c r="M194" s="114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202</v>
      </c>
      <c r="G195" s="101" t="s">
        <v>198</v>
      </c>
      <c r="H195" s="24" t="s">
        <v>194</v>
      </c>
      <c r="I195" s="114"/>
      <c r="J195" s="114"/>
      <c r="K195" s="114"/>
      <c r="L195" s="114"/>
      <c r="M195" s="114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203</v>
      </c>
      <c r="G196" s="101" t="s">
        <v>198</v>
      </c>
      <c r="H196" s="24" t="s">
        <v>193</v>
      </c>
      <c r="I196" s="114"/>
      <c r="J196" s="114"/>
      <c r="K196" s="114"/>
      <c r="L196" s="114"/>
      <c r="M196" s="114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204</v>
      </c>
      <c r="G197" s="101" t="s">
        <v>198</v>
      </c>
      <c r="H197" s="24" t="s">
        <v>194</v>
      </c>
      <c r="I197" s="114"/>
      <c r="J197" s="114"/>
      <c r="K197" s="114"/>
      <c r="L197" s="114"/>
      <c r="M197" s="114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205</v>
      </c>
      <c r="G198" s="101" t="s">
        <v>198</v>
      </c>
      <c r="H198" s="24" t="s">
        <v>194</v>
      </c>
      <c r="I198" s="114"/>
      <c r="J198" s="114"/>
      <c r="K198" s="114"/>
      <c r="L198" s="114"/>
      <c r="M198" s="114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206</v>
      </c>
      <c r="G199" s="101" t="s">
        <v>198</v>
      </c>
      <c r="H199" s="24" t="s">
        <v>194</v>
      </c>
      <c r="I199" s="114"/>
      <c r="J199" s="114"/>
      <c r="K199" s="114"/>
      <c r="L199" s="114"/>
      <c r="M199" s="114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207</v>
      </c>
      <c r="G200" s="101" t="s">
        <v>198</v>
      </c>
      <c r="H200" s="24" t="s">
        <v>194</v>
      </c>
      <c r="I200" s="114"/>
      <c r="J200" s="114"/>
      <c r="K200" s="114"/>
      <c r="L200" s="114"/>
      <c r="M200" s="114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208</v>
      </c>
      <c r="G201" s="101" t="s">
        <v>198</v>
      </c>
      <c r="H201" s="24" t="s">
        <v>194</v>
      </c>
      <c r="I201" s="114"/>
      <c r="J201" s="114"/>
      <c r="K201" s="114"/>
      <c r="L201" s="114"/>
      <c r="M201" s="114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209</v>
      </c>
      <c r="G202" s="101" t="s">
        <v>198</v>
      </c>
      <c r="H202" s="24" t="s">
        <v>194</v>
      </c>
      <c r="I202" s="114"/>
      <c r="J202" s="114"/>
      <c r="K202" s="114"/>
      <c r="L202" s="114"/>
      <c r="M202" s="114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368</v>
      </c>
      <c r="G203" s="101" t="s">
        <v>198</v>
      </c>
      <c r="H203" s="24" t="s">
        <v>40</v>
      </c>
      <c r="I203" s="114"/>
      <c r="J203" s="114"/>
      <c r="K203" s="114"/>
      <c r="L203" s="114"/>
      <c r="M203" s="114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369</v>
      </c>
      <c r="G204" s="101" t="s">
        <v>198</v>
      </c>
      <c r="H204" s="24" t="s">
        <v>40</v>
      </c>
      <c r="I204" s="114"/>
      <c r="J204" s="114"/>
      <c r="K204" s="114"/>
      <c r="L204" s="114"/>
      <c r="M204" s="114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370</v>
      </c>
      <c r="G205" s="101" t="s">
        <v>198</v>
      </c>
      <c r="H205" s="24" t="s">
        <v>40</v>
      </c>
      <c r="I205" s="114"/>
      <c r="J205" s="114"/>
      <c r="K205" s="114"/>
      <c r="L205" s="114"/>
      <c r="M205" s="114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371</v>
      </c>
      <c r="G206" s="101" t="s">
        <v>198</v>
      </c>
      <c r="H206" s="24" t="s">
        <v>40</v>
      </c>
      <c r="I206" s="114"/>
      <c r="J206" s="114"/>
      <c r="K206" s="114"/>
      <c r="L206" s="114"/>
      <c r="M206" s="114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64</v>
      </c>
      <c r="G207" s="101" t="s">
        <v>198</v>
      </c>
      <c r="H207" s="24" t="s">
        <v>40</v>
      </c>
      <c r="I207" s="114"/>
      <c r="J207" s="114"/>
      <c r="K207" s="114"/>
      <c r="L207" s="114"/>
      <c r="M207" s="114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65</v>
      </c>
      <c r="G208" s="101" t="s">
        <v>198</v>
      </c>
      <c r="H208" s="24" t="s">
        <v>40</v>
      </c>
      <c r="I208" s="114"/>
      <c r="J208" s="114"/>
      <c r="K208" s="114"/>
      <c r="L208" s="114"/>
      <c r="M208" s="114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210</v>
      </c>
      <c r="G209" s="101" t="s">
        <v>198</v>
      </c>
      <c r="H209" s="24" t="s">
        <v>40</v>
      </c>
      <c r="I209" s="114"/>
      <c r="J209" s="114"/>
      <c r="K209" s="114"/>
      <c r="L209" s="114"/>
      <c r="M209" s="114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211</v>
      </c>
      <c r="G210" s="101" t="s">
        <v>198</v>
      </c>
      <c r="H210" s="24" t="s">
        <v>40</v>
      </c>
      <c r="I210" s="114"/>
      <c r="J210" s="114"/>
      <c r="K210" s="114"/>
      <c r="L210" s="114"/>
      <c r="M210" s="114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212</v>
      </c>
      <c r="G211" s="101" t="s">
        <v>198</v>
      </c>
      <c r="H211" s="24" t="s">
        <v>40</v>
      </c>
      <c r="I211" s="114"/>
      <c r="J211" s="114"/>
      <c r="K211" s="114"/>
      <c r="L211" s="114"/>
      <c r="M211" s="114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372</v>
      </c>
      <c r="G212" s="101" t="s">
        <v>198</v>
      </c>
      <c r="H212" s="24" t="s">
        <v>40</v>
      </c>
      <c r="I212" s="114"/>
      <c r="J212" s="114"/>
      <c r="K212" s="114"/>
      <c r="L212" s="114"/>
      <c r="M212" s="114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373</v>
      </c>
      <c r="G213" s="101" t="s">
        <v>198</v>
      </c>
      <c r="H213" s="24" t="s">
        <v>40</v>
      </c>
      <c r="I213" s="114"/>
      <c r="J213" s="114"/>
      <c r="K213" s="114"/>
      <c r="L213" s="114"/>
      <c r="M213" s="114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71</v>
      </c>
      <c r="G214" s="101" t="s">
        <v>198</v>
      </c>
      <c r="H214" s="24" t="s">
        <v>40</v>
      </c>
      <c r="I214" s="114"/>
      <c r="J214" s="114"/>
      <c r="K214" s="114"/>
      <c r="L214" s="114"/>
      <c r="M214" s="114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72</v>
      </c>
      <c r="G215" s="101" t="s">
        <v>198</v>
      </c>
      <c r="H215" s="24" t="s">
        <v>41</v>
      </c>
      <c r="I215" s="114"/>
      <c r="J215" s="114"/>
      <c r="K215" s="114"/>
      <c r="L215" s="114"/>
      <c r="M215" s="114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73</v>
      </c>
      <c r="G216" s="101" t="s">
        <v>198</v>
      </c>
      <c r="H216" s="24" t="s">
        <v>41</v>
      </c>
      <c r="I216" s="114"/>
      <c r="J216" s="114"/>
      <c r="K216" s="114"/>
      <c r="L216" s="114"/>
      <c r="M216" s="114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374</v>
      </c>
      <c r="G217" s="101" t="s">
        <v>198</v>
      </c>
      <c r="H217" s="24" t="s">
        <v>40</v>
      </c>
      <c r="I217" s="114"/>
      <c r="J217" s="114"/>
      <c r="K217" s="114"/>
      <c r="L217" s="114"/>
      <c r="M217" s="114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375</v>
      </c>
      <c r="G218" s="101" t="s">
        <v>198</v>
      </c>
      <c r="H218" s="24" t="s">
        <v>40</v>
      </c>
      <c r="I218" s="114"/>
      <c r="J218" s="114"/>
      <c r="K218" s="114"/>
      <c r="L218" s="114"/>
      <c r="M218" s="114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376</v>
      </c>
      <c r="G219" s="101" t="s">
        <v>198</v>
      </c>
      <c r="H219" s="24" t="s">
        <v>40</v>
      </c>
      <c r="I219" s="114"/>
      <c r="J219" s="114"/>
      <c r="K219" s="114"/>
      <c r="L219" s="114"/>
      <c r="M219" s="114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377</v>
      </c>
      <c r="G220" s="101" t="s">
        <v>198</v>
      </c>
      <c r="H220" s="24" t="s">
        <v>40</v>
      </c>
      <c r="I220" s="114"/>
      <c r="J220" s="114"/>
      <c r="K220" s="114"/>
      <c r="L220" s="114"/>
      <c r="M220" s="114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378</v>
      </c>
      <c r="G221" s="101" t="s">
        <v>198</v>
      </c>
      <c r="H221" s="24" t="s">
        <v>40</v>
      </c>
      <c r="I221" s="114"/>
      <c r="J221" s="114"/>
      <c r="K221" s="114"/>
      <c r="L221" s="114"/>
      <c r="M221" s="114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379</v>
      </c>
      <c r="G222" s="101" t="s">
        <v>198</v>
      </c>
      <c r="H222" s="24" t="s">
        <v>41</v>
      </c>
      <c r="I222" s="114"/>
      <c r="J222" s="114"/>
      <c r="K222" s="114"/>
      <c r="L222" s="114"/>
      <c r="M222" s="114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80</v>
      </c>
      <c r="G223" s="101" t="s">
        <v>198</v>
      </c>
      <c r="H223" s="24" t="s">
        <v>41</v>
      </c>
      <c r="I223" s="114"/>
      <c r="J223" s="114"/>
      <c r="K223" s="114"/>
      <c r="L223" s="114"/>
      <c r="M223" s="114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380</v>
      </c>
      <c r="G224" s="101" t="s">
        <v>198</v>
      </c>
      <c r="H224" s="24" t="s">
        <v>40</v>
      </c>
      <c r="I224" s="114"/>
      <c r="J224" s="114"/>
      <c r="K224" s="114"/>
      <c r="L224" s="114"/>
      <c r="M224" s="114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381</v>
      </c>
      <c r="G225" s="101" t="s">
        <v>198</v>
      </c>
      <c r="H225" s="24" t="s">
        <v>40</v>
      </c>
      <c r="I225" s="114"/>
      <c r="J225" s="114"/>
      <c r="K225" s="114"/>
      <c r="L225" s="114"/>
      <c r="M225" s="114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382</v>
      </c>
      <c r="G226" s="101" t="s">
        <v>198</v>
      </c>
      <c r="H226" s="24" t="s">
        <v>41</v>
      </c>
      <c r="I226" s="114"/>
      <c r="J226" s="114"/>
      <c r="K226" s="114"/>
      <c r="L226" s="114"/>
      <c r="M226" s="114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383</v>
      </c>
      <c r="G227" s="101" t="s">
        <v>198</v>
      </c>
      <c r="H227" s="24" t="s">
        <v>41</v>
      </c>
      <c r="I227" s="114"/>
      <c r="J227" s="114"/>
      <c r="K227" s="114"/>
      <c r="L227" s="114"/>
      <c r="M227" s="114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384</v>
      </c>
      <c r="G228" s="101" t="s">
        <v>198</v>
      </c>
      <c r="H228" s="24" t="s">
        <v>41</v>
      </c>
      <c r="I228" s="114"/>
      <c r="J228" s="114"/>
      <c r="K228" s="114"/>
      <c r="L228" s="114"/>
      <c r="M228" s="114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385</v>
      </c>
      <c r="G229" s="101" t="s">
        <v>198</v>
      </c>
      <c r="H229" s="24" t="s">
        <v>41</v>
      </c>
      <c r="I229" s="114"/>
      <c r="J229" s="114"/>
      <c r="K229" s="114"/>
      <c r="L229" s="114"/>
      <c r="M229" s="114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213</v>
      </c>
      <c r="G230" s="101" t="s">
        <v>198</v>
      </c>
      <c r="H230" s="24" t="s">
        <v>166</v>
      </c>
      <c r="I230" s="114"/>
      <c r="J230" s="114"/>
      <c r="K230" s="114"/>
      <c r="L230" s="114"/>
      <c r="M230" s="114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214</v>
      </c>
      <c r="G231" s="101" t="s">
        <v>198</v>
      </c>
      <c r="H231" s="24" t="s">
        <v>166</v>
      </c>
      <c r="I231" s="114"/>
      <c r="J231" s="114"/>
      <c r="K231" s="114"/>
      <c r="L231" s="114"/>
      <c r="M231" s="114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215</v>
      </c>
      <c r="G232" s="101" t="s">
        <v>198</v>
      </c>
      <c r="H232" s="24" t="s">
        <v>166</v>
      </c>
      <c r="I232" s="114"/>
      <c r="J232" s="114"/>
      <c r="K232" s="114"/>
      <c r="L232" s="114"/>
      <c r="M232" s="114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216</v>
      </c>
      <c r="G233" s="101" t="s">
        <v>198</v>
      </c>
      <c r="H233" s="24" t="s">
        <v>166</v>
      </c>
      <c r="I233" s="114"/>
      <c r="J233" s="114"/>
      <c r="K233" s="114"/>
      <c r="L233" s="114"/>
      <c r="M233" s="114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91</v>
      </c>
      <c r="G234" s="101" t="s">
        <v>198</v>
      </c>
      <c r="H234" s="24" t="s">
        <v>166</v>
      </c>
      <c r="I234" s="114"/>
      <c r="J234" s="114"/>
      <c r="K234" s="114"/>
      <c r="L234" s="114"/>
      <c r="M234" s="114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92</v>
      </c>
      <c r="G235" s="101" t="s">
        <v>198</v>
      </c>
      <c r="H235" s="24" t="s">
        <v>166</v>
      </c>
      <c r="I235" s="114"/>
      <c r="J235" s="114"/>
      <c r="K235" s="114"/>
      <c r="L235" s="114"/>
      <c r="M235" s="114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93</v>
      </c>
      <c r="G236" s="101" t="s">
        <v>198</v>
      </c>
      <c r="H236" s="24" t="s">
        <v>166</v>
      </c>
      <c r="I236" s="114"/>
      <c r="J236" s="114"/>
      <c r="K236" s="114"/>
      <c r="L236" s="114"/>
      <c r="M236" s="114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94</v>
      </c>
      <c r="G237" s="101" t="s">
        <v>198</v>
      </c>
      <c r="H237" s="24" t="s">
        <v>166</v>
      </c>
      <c r="I237" s="114"/>
      <c r="J237" s="114"/>
      <c r="K237" s="114"/>
      <c r="L237" s="114"/>
      <c r="M237" s="114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217</v>
      </c>
      <c r="G238" s="101" t="s">
        <v>198</v>
      </c>
      <c r="H238" s="24" t="s">
        <v>166</v>
      </c>
      <c r="I238" s="114"/>
      <c r="J238" s="114"/>
      <c r="K238" s="114"/>
      <c r="L238" s="114"/>
      <c r="M238" s="114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218</v>
      </c>
      <c r="G239" s="101" t="s">
        <v>198</v>
      </c>
      <c r="H239" s="24" t="s">
        <v>166</v>
      </c>
      <c r="I239" s="114"/>
      <c r="J239" s="114"/>
      <c r="K239" s="114"/>
      <c r="L239" s="114"/>
      <c r="M239" s="114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219</v>
      </c>
      <c r="G240" s="101" t="s">
        <v>198</v>
      </c>
      <c r="H240" s="24" t="s">
        <v>166</v>
      </c>
      <c r="I240" s="114"/>
      <c r="J240" s="114"/>
      <c r="K240" s="114"/>
      <c r="L240" s="114"/>
      <c r="M240" s="114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220</v>
      </c>
      <c r="G241" s="101" t="s">
        <v>198</v>
      </c>
      <c r="H241" s="24" t="s">
        <v>166</v>
      </c>
      <c r="I241" s="114"/>
      <c r="J241" s="114"/>
      <c r="K241" s="114"/>
      <c r="L241" s="114"/>
      <c r="M241" s="114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221</v>
      </c>
      <c r="G242" s="101" t="s">
        <v>198</v>
      </c>
      <c r="H242" s="24" t="s">
        <v>166</v>
      </c>
      <c r="I242" s="114"/>
      <c r="J242" s="114"/>
      <c r="K242" s="114"/>
      <c r="L242" s="114"/>
      <c r="M242" s="114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222</v>
      </c>
      <c r="G243" s="101" t="s">
        <v>198</v>
      </c>
      <c r="H243" s="24" t="s">
        <v>166</v>
      </c>
      <c r="I243" s="114"/>
      <c r="J243" s="114"/>
      <c r="K243" s="114"/>
      <c r="L243" s="114"/>
      <c r="M243" s="114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223</v>
      </c>
      <c r="G244" s="101" t="s">
        <v>198</v>
      </c>
      <c r="H244" s="24" t="s">
        <v>166</v>
      </c>
      <c r="I244" s="114"/>
      <c r="J244" s="114"/>
      <c r="K244" s="114"/>
      <c r="L244" s="114"/>
      <c r="M244" s="114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386</v>
      </c>
      <c r="G245" s="101" t="s">
        <v>198</v>
      </c>
      <c r="H245" s="24" t="s">
        <v>166</v>
      </c>
      <c r="I245" s="114"/>
      <c r="J245" s="114"/>
      <c r="K245" s="114"/>
      <c r="L245" s="114"/>
      <c r="M245" s="114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387</v>
      </c>
      <c r="G246" s="101" t="s">
        <v>198</v>
      </c>
      <c r="H246" s="24" t="s">
        <v>166</v>
      </c>
      <c r="I246" s="114"/>
      <c r="J246" s="114"/>
      <c r="K246" s="114"/>
      <c r="L246" s="114"/>
      <c r="M246" s="114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388</v>
      </c>
      <c r="G247" s="101" t="s">
        <v>198</v>
      </c>
      <c r="H247" s="24" t="s">
        <v>166</v>
      </c>
      <c r="I247" s="114"/>
      <c r="J247" s="114"/>
      <c r="K247" s="114"/>
      <c r="L247" s="114"/>
      <c r="M247" s="114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389</v>
      </c>
      <c r="G248" s="101" t="s">
        <v>198</v>
      </c>
      <c r="H248" s="24" t="s">
        <v>166</v>
      </c>
      <c r="I248" s="114"/>
      <c r="J248" s="114"/>
      <c r="K248" s="114"/>
      <c r="L248" s="114"/>
      <c r="M248" s="114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106</v>
      </c>
      <c r="G249" s="101" t="s">
        <v>198</v>
      </c>
      <c r="H249" s="24" t="s">
        <v>166</v>
      </c>
      <c r="I249" s="114"/>
      <c r="J249" s="114"/>
      <c r="K249" s="114"/>
      <c r="L249" s="114"/>
      <c r="M249" s="114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107</v>
      </c>
      <c r="G250" s="101" t="s">
        <v>198</v>
      </c>
      <c r="H250" s="24" t="s">
        <v>166</v>
      </c>
      <c r="I250" s="114"/>
      <c r="J250" s="114"/>
      <c r="K250" s="114"/>
      <c r="L250" s="114"/>
      <c r="M250" s="114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390</v>
      </c>
      <c r="G251" s="101" t="s">
        <v>198</v>
      </c>
      <c r="H251" s="24" t="s">
        <v>166</v>
      </c>
      <c r="I251" s="114"/>
      <c r="J251" s="114"/>
      <c r="K251" s="114"/>
      <c r="L251" s="114"/>
      <c r="M251" s="114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109</v>
      </c>
      <c r="G252" s="101" t="s">
        <v>198</v>
      </c>
      <c r="H252" s="24" t="s">
        <v>166</v>
      </c>
      <c r="I252" s="114"/>
      <c r="J252" s="114"/>
      <c r="K252" s="114"/>
      <c r="L252" s="114"/>
      <c r="M252" s="114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391</v>
      </c>
      <c r="G253" s="101" t="s">
        <v>198</v>
      </c>
      <c r="H253" s="24" t="s">
        <v>166</v>
      </c>
      <c r="I253" s="114"/>
      <c r="J253" s="114"/>
      <c r="K253" s="114"/>
      <c r="L253" s="114"/>
      <c r="M253" s="114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392</v>
      </c>
      <c r="G254" s="101" t="s">
        <v>198</v>
      </c>
      <c r="H254" s="24" t="s">
        <v>166</v>
      </c>
      <c r="I254" s="114"/>
      <c r="J254" s="114"/>
      <c r="K254" s="114"/>
      <c r="L254" s="114"/>
      <c r="M254" s="114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1" t="s">
        <v>112</v>
      </c>
      <c r="G255" s="101" t="s">
        <v>198</v>
      </c>
      <c r="H255" s="24" t="s">
        <v>166</v>
      </c>
      <c r="I255" s="114"/>
      <c r="J255" s="114"/>
      <c r="K255" s="114"/>
      <c r="L255" s="114"/>
      <c r="M255" s="114"/>
      <c r="N255" s="65"/>
      <c r="O255" s="39"/>
    </row>
    <row r="256" spans="1:15" x14ac:dyDescent="0.25">
      <c r="A256" s="39"/>
      <c r="B256" s="39"/>
      <c r="C256" s="39"/>
      <c r="D256" s="39"/>
      <c r="E256" s="39"/>
      <c r="F256" s="101" t="s">
        <v>113</v>
      </c>
      <c r="G256" s="101" t="s">
        <v>198</v>
      </c>
      <c r="H256" s="24" t="s">
        <v>166</v>
      </c>
      <c r="I256" s="114"/>
      <c r="J256" s="114"/>
      <c r="K256" s="114"/>
      <c r="L256" s="114"/>
      <c r="M256" s="114"/>
      <c r="N256" s="65"/>
      <c r="O256" s="39"/>
    </row>
    <row r="257" spans="1:15" x14ac:dyDescent="0.25">
      <c r="A257" s="39"/>
      <c r="B257" s="39"/>
      <c r="C257" s="39"/>
      <c r="D257" s="39"/>
      <c r="E257" s="39"/>
      <c r="F257" s="101" t="s">
        <v>114</v>
      </c>
      <c r="G257" s="101" t="s">
        <v>198</v>
      </c>
      <c r="H257" s="24" t="s">
        <v>166</v>
      </c>
      <c r="I257" s="114"/>
      <c r="J257" s="114"/>
      <c r="K257" s="114"/>
      <c r="L257" s="114"/>
      <c r="M257" s="114"/>
      <c r="N257" s="65"/>
      <c r="O257" s="39"/>
    </row>
    <row r="258" spans="1:15" x14ac:dyDescent="0.25">
      <c r="A258" s="39"/>
      <c r="B258" s="39"/>
      <c r="C258" s="39"/>
      <c r="D258" s="39"/>
      <c r="E258" s="39"/>
      <c r="F258" s="101" t="s">
        <v>224</v>
      </c>
      <c r="G258" s="101" t="s">
        <v>198</v>
      </c>
      <c r="H258" s="24" t="s">
        <v>166</v>
      </c>
      <c r="I258" s="114"/>
      <c r="J258" s="114"/>
      <c r="K258" s="114"/>
      <c r="L258" s="114"/>
      <c r="M258" s="114"/>
      <c r="N258" s="65"/>
      <c r="O258" s="39"/>
    </row>
    <row r="259" spans="1:15" x14ac:dyDescent="0.25">
      <c r="A259" s="39"/>
      <c r="B259" s="39"/>
      <c r="C259" s="39"/>
      <c r="D259" s="39"/>
      <c r="E259" s="39"/>
      <c r="F259" s="101" t="s">
        <v>225</v>
      </c>
      <c r="G259" s="101" t="s">
        <v>198</v>
      </c>
      <c r="H259" s="24" t="s">
        <v>166</v>
      </c>
      <c r="I259" s="114"/>
      <c r="J259" s="114"/>
      <c r="K259" s="114"/>
      <c r="L259" s="114"/>
      <c r="M259" s="114"/>
      <c r="N259" s="65"/>
      <c r="O259" s="39"/>
    </row>
    <row r="260" spans="1:15" x14ac:dyDescent="0.25">
      <c r="A260" s="39"/>
      <c r="B260" s="39"/>
      <c r="C260" s="39"/>
      <c r="D260" s="39"/>
      <c r="E260" s="39"/>
      <c r="F260" s="101" t="s">
        <v>117</v>
      </c>
      <c r="G260" s="101" t="s">
        <v>198</v>
      </c>
      <c r="H260" s="24" t="s">
        <v>166</v>
      </c>
      <c r="I260" s="114"/>
      <c r="J260" s="114"/>
      <c r="K260" s="114"/>
      <c r="L260" s="114"/>
      <c r="M260" s="114"/>
      <c r="N260" s="65"/>
      <c r="O260" s="39"/>
    </row>
    <row r="261" spans="1:15" x14ac:dyDescent="0.25">
      <c r="A261" s="39"/>
      <c r="B261" s="39"/>
      <c r="C261" s="39"/>
      <c r="D261" s="39"/>
      <c r="E261" s="39"/>
      <c r="F261" s="101" t="s">
        <v>118</v>
      </c>
      <c r="G261" s="101" t="s">
        <v>198</v>
      </c>
      <c r="H261" s="24" t="s">
        <v>166</v>
      </c>
      <c r="I261" s="114"/>
      <c r="J261" s="114"/>
      <c r="K261" s="114"/>
      <c r="L261" s="114"/>
      <c r="M261" s="114"/>
      <c r="N261" s="65"/>
      <c r="O261" s="39"/>
    </row>
    <row r="262" spans="1:15" x14ac:dyDescent="0.25">
      <c r="A262" s="39"/>
      <c r="B262" s="39"/>
      <c r="C262" s="39"/>
      <c r="D262" s="39"/>
      <c r="E262" s="39"/>
      <c r="F262" s="101" t="s">
        <v>119</v>
      </c>
      <c r="G262" s="101" t="s">
        <v>198</v>
      </c>
      <c r="H262" s="24" t="s">
        <v>166</v>
      </c>
      <c r="I262" s="114"/>
      <c r="J262" s="114"/>
      <c r="K262" s="114"/>
      <c r="L262" s="114"/>
      <c r="M262" s="114"/>
      <c r="N262" s="65"/>
      <c r="O262" s="39"/>
    </row>
    <row r="263" spans="1:15" x14ac:dyDescent="0.25">
      <c r="A263" s="39"/>
      <c r="B263" s="39"/>
      <c r="C263" s="39"/>
      <c r="D263" s="39"/>
      <c r="E263" s="39"/>
      <c r="F263" s="101" t="s">
        <v>226</v>
      </c>
      <c r="G263" s="101" t="s">
        <v>198</v>
      </c>
      <c r="H263" s="24" t="s">
        <v>166</v>
      </c>
      <c r="I263" s="114"/>
      <c r="J263" s="114"/>
      <c r="K263" s="114"/>
      <c r="L263" s="114"/>
      <c r="M263" s="114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227</v>
      </c>
      <c r="G264" s="101" t="s">
        <v>198</v>
      </c>
      <c r="H264" s="24" t="s">
        <v>166</v>
      </c>
      <c r="I264" s="114"/>
      <c r="J264" s="114"/>
      <c r="K264" s="114"/>
      <c r="L264" s="114"/>
      <c r="M264" s="114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228</v>
      </c>
      <c r="G265" s="101" t="s">
        <v>198</v>
      </c>
      <c r="H265" s="24" t="s">
        <v>166</v>
      </c>
      <c r="I265" s="114"/>
      <c r="J265" s="114"/>
      <c r="K265" s="114"/>
      <c r="L265" s="114"/>
      <c r="M265" s="114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367</v>
      </c>
      <c r="G266" s="101" t="s">
        <v>198</v>
      </c>
      <c r="H266" s="24" t="s">
        <v>166</v>
      </c>
      <c r="I266" s="114"/>
      <c r="J266" s="114"/>
      <c r="K266" s="114"/>
      <c r="L266" s="114"/>
      <c r="M266" s="114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393</v>
      </c>
      <c r="G267" s="101" t="s">
        <v>198</v>
      </c>
      <c r="H267" s="24" t="s">
        <v>166</v>
      </c>
      <c r="I267" s="114"/>
      <c r="J267" s="114"/>
      <c r="K267" s="114"/>
      <c r="L267" s="114"/>
      <c r="M267" s="114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125</v>
      </c>
      <c r="G268" s="101" t="s">
        <v>198</v>
      </c>
      <c r="H268" s="24" t="s">
        <v>166</v>
      </c>
      <c r="I268" s="114"/>
      <c r="J268" s="114"/>
      <c r="K268" s="114"/>
      <c r="L268" s="114"/>
      <c r="M268" s="114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126</v>
      </c>
      <c r="G269" s="101" t="s">
        <v>198</v>
      </c>
      <c r="H269" s="24" t="s">
        <v>166</v>
      </c>
      <c r="I269" s="114"/>
      <c r="J269" s="114"/>
      <c r="K269" s="114"/>
      <c r="L269" s="114"/>
      <c r="M269" s="114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127</v>
      </c>
      <c r="G270" s="101" t="s">
        <v>198</v>
      </c>
      <c r="H270" s="24" t="s">
        <v>166</v>
      </c>
      <c r="I270" s="114"/>
      <c r="J270" s="114"/>
      <c r="K270" s="114"/>
      <c r="L270" s="114"/>
      <c r="M270" s="114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394</v>
      </c>
      <c r="G271" s="101" t="s">
        <v>198</v>
      </c>
      <c r="H271" s="24" t="s">
        <v>166</v>
      </c>
      <c r="I271" s="114"/>
      <c r="J271" s="114"/>
      <c r="K271" s="114"/>
      <c r="L271" s="114"/>
      <c r="M271" s="114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395</v>
      </c>
      <c r="G272" s="101" t="s">
        <v>198</v>
      </c>
      <c r="H272" s="24" t="s">
        <v>166</v>
      </c>
      <c r="I272" s="114"/>
      <c r="J272" s="114"/>
      <c r="K272" s="114"/>
      <c r="L272" s="114"/>
      <c r="M272" s="114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229</v>
      </c>
      <c r="G273" s="101" t="s">
        <v>198</v>
      </c>
      <c r="H273" s="24" t="s">
        <v>40</v>
      </c>
      <c r="I273" s="114"/>
      <c r="J273" s="114"/>
      <c r="K273" s="114"/>
      <c r="L273" s="114"/>
      <c r="M273" s="114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3" t="s">
        <v>230</v>
      </c>
      <c r="G274" s="103" t="s">
        <v>198</v>
      </c>
      <c r="H274" s="25" t="s">
        <v>40</v>
      </c>
      <c r="I274" s="114"/>
      <c r="J274" s="114"/>
      <c r="K274" s="114"/>
      <c r="L274" s="114"/>
      <c r="M274" s="114"/>
      <c r="N274" s="65"/>
      <c r="O274" s="39"/>
    </row>
    <row r="275" spans="1:15" x14ac:dyDescent="0.25">
      <c r="A275" s="39"/>
      <c r="B275" s="39"/>
      <c r="C275" s="39"/>
      <c r="D275" s="39"/>
      <c r="E275" s="39"/>
      <c r="F275" s="39"/>
      <c r="G275" s="39"/>
      <c r="H275" s="65"/>
      <c r="I275" s="65"/>
      <c r="J275" s="65"/>
      <c r="K275" s="65"/>
      <c r="L275" s="65"/>
      <c r="M275" s="65"/>
      <c r="N275" s="65"/>
      <c r="O275" s="39"/>
    </row>
    <row r="276" spans="1:15" x14ac:dyDescent="0.25">
      <c r="A276" s="39"/>
      <c r="B276" s="39"/>
      <c r="C276" s="96" t="s">
        <v>682</v>
      </c>
      <c r="D276" s="96"/>
      <c r="E276" s="96"/>
      <c r="F276" s="96"/>
      <c r="G276" s="96"/>
      <c r="H276" s="97"/>
      <c r="I276" s="97"/>
      <c r="J276" s="97"/>
      <c r="K276" s="97"/>
      <c r="L276" s="97"/>
      <c r="M276" s="97"/>
      <c r="N276" s="97"/>
      <c r="O276" s="96"/>
    </row>
    <row r="277" spans="1:15" x14ac:dyDescent="0.25">
      <c r="A277" s="39"/>
      <c r="B277" s="39"/>
      <c r="C277" s="95"/>
      <c r="D277" s="95"/>
      <c r="E277" s="39"/>
      <c r="F277" s="39"/>
      <c r="G277" s="39"/>
      <c r="H277" s="65"/>
      <c r="I277" s="65"/>
      <c r="J277" s="65"/>
      <c r="K277" s="65"/>
      <c r="L277" s="65"/>
      <c r="M277" s="65"/>
      <c r="N277" s="65"/>
      <c r="O277" s="39"/>
    </row>
    <row r="278" spans="1:15" x14ac:dyDescent="0.25">
      <c r="A278" s="39"/>
      <c r="B278" s="39"/>
      <c r="C278" s="95"/>
      <c r="D278" s="95" t="s">
        <v>679</v>
      </c>
      <c r="E278" s="39"/>
      <c r="F278" s="39"/>
      <c r="G278" s="39"/>
      <c r="H278" s="65"/>
      <c r="I278" s="65"/>
      <c r="J278" s="65"/>
      <c r="K278" s="65"/>
      <c r="L278" s="65"/>
      <c r="M278" s="65"/>
      <c r="N278" s="65"/>
      <c r="O278" s="39"/>
    </row>
    <row r="279" spans="1:15" x14ac:dyDescent="0.25">
      <c r="A279" s="39"/>
      <c r="B279" s="39"/>
      <c r="C279" s="95"/>
      <c r="D279" s="95" t="s">
        <v>680</v>
      </c>
      <c r="E279" s="39"/>
      <c r="F279" s="39"/>
      <c r="G279" s="39"/>
      <c r="H279" s="65"/>
      <c r="I279" s="65"/>
      <c r="J279" s="65"/>
      <c r="K279" s="65"/>
      <c r="L279" s="65"/>
      <c r="M279" s="65"/>
      <c r="N279" s="65"/>
      <c r="O279" s="39"/>
    </row>
    <row r="280" spans="1:15" x14ac:dyDescent="0.25">
      <c r="A280" s="39"/>
      <c r="B280" s="39"/>
      <c r="C280" s="95"/>
      <c r="D280" s="95"/>
      <c r="E280" s="39"/>
      <c r="F280" s="39"/>
      <c r="G280" s="39"/>
      <c r="H280" s="65"/>
      <c r="I280" s="65"/>
      <c r="J280" s="65"/>
      <c r="K280" s="65"/>
      <c r="L280" s="65"/>
      <c r="M280" s="65"/>
      <c r="N280" s="65"/>
      <c r="O280" s="39"/>
    </row>
    <row r="281" spans="1:15" x14ac:dyDescent="0.25">
      <c r="A281" s="39"/>
      <c r="B281" s="39"/>
      <c r="C281" s="39"/>
      <c r="D281" s="95"/>
      <c r="E281" s="98" t="s">
        <v>562</v>
      </c>
      <c r="F281" s="39"/>
      <c r="G281" s="39"/>
      <c r="H281" s="65"/>
      <c r="I281" s="65"/>
      <c r="J281" s="65"/>
      <c r="K281" s="65"/>
      <c r="L281" s="65"/>
      <c r="M281" s="65"/>
      <c r="N281" s="65"/>
      <c r="O281" s="39"/>
    </row>
    <row r="282" spans="1:15" x14ac:dyDescent="0.25">
      <c r="A282" s="39"/>
      <c r="B282" s="39"/>
      <c r="C282" s="39"/>
      <c r="D282" s="39"/>
      <c r="E282" s="39"/>
      <c r="F282" s="99" t="s">
        <v>180</v>
      </c>
      <c r="G282" s="99" t="s">
        <v>181</v>
      </c>
      <c r="H282" s="31" t="s">
        <v>37</v>
      </c>
      <c r="I282" s="114"/>
      <c r="J282" s="114"/>
      <c r="K282" s="114"/>
      <c r="L282" s="114"/>
      <c r="M282" s="114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182</v>
      </c>
      <c r="G283" s="101" t="s">
        <v>181</v>
      </c>
      <c r="H283" s="24" t="s">
        <v>36</v>
      </c>
      <c r="I283" s="114"/>
      <c r="J283" s="114"/>
      <c r="K283" s="114"/>
      <c r="L283" s="114"/>
      <c r="M283" s="114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184</v>
      </c>
      <c r="G284" s="101" t="s">
        <v>181</v>
      </c>
      <c r="H284" s="24" t="s">
        <v>38</v>
      </c>
      <c r="I284" s="114"/>
      <c r="J284" s="114"/>
      <c r="K284" s="114"/>
      <c r="L284" s="114"/>
      <c r="M284" s="114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195</v>
      </c>
      <c r="G285" s="101" t="s">
        <v>181</v>
      </c>
      <c r="H285" s="24" t="s">
        <v>35</v>
      </c>
      <c r="I285" s="114"/>
      <c r="J285" s="114"/>
      <c r="K285" s="114"/>
      <c r="L285" s="114"/>
      <c r="M285" s="114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3" t="s">
        <v>196</v>
      </c>
      <c r="G286" s="103" t="s">
        <v>181</v>
      </c>
      <c r="H286" s="25" t="s">
        <v>513</v>
      </c>
      <c r="I286" s="114"/>
      <c r="J286" s="114"/>
      <c r="K286" s="114"/>
      <c r="L286" s="114"/>
      <c r="M286" s="114"/>
      <c r="N286" s="65"/>
      <c r="O286" s="39"/>
    </row>
    <row r="287" spans="1:15" x14ac:dyDescent="0.25">
      <c r="A287" s="39"/>
      <c r="B287" s="39"/>
      <c r="C287" s="39"/>
      <c r="D287" s="39"/>
      <c r="E287" s="39"/>
      <c r="F287" s="39"/>
      <c r="G287" s="39"/>
      <c r="H287" s="65"/>
      <c r="I287" s="65"/>
      <c r="J287" s="65"/>
      <c r="K287" s="65"/>
      <c r="L287" s="65"/>
      <c r="M287" s="65"/>
      <c r="N287" s="65"/>
      <c r="O287" s="39"/>
    </row>
    <row r="288" spans="1:15" x14ac:dyDescent="0.25">
      <c r="A288" s="107"/>
      <c r="B288" s="39"/>
      <c r="C288" s="39"/>
      <c r="D288" s="39"/>
      <c r="E288" s="98" t="s">
        <v>681</v>
      </c>
      <c r="F288" s="39"/>
      <c r="G288" s="39"/>
      <c r="H288" s="65"/>
      <c r="I288" s="112" t="s">
        <v>314</v>
      </c>
      <c r="J288" s="112"/>
      <c r="K288" s="112"/>
      <c r="L288" s="112"/>
      <c r="M288" s="112"/>
      <c r="N288" s="112"/>
      <c r="O288" s="101" t="s">
        <v>360</v>
      </c>
    </row>
    <row r="289" spans="1:15" x14ac:dyDescent="0.25">
      <c r="A289" s="39"/>
      <c r="B289" s="39"/>
      <c r="C289" s="39"/>
      <c r="D289" s="39"/>
      <c r="E289" s="39"/>
      <c r="F289" s="99" t="s">
        <v>197</v>
      </c>
      <c r="G289" s="99" t="s">
        <v>198</v>
      </c>
      <c r="H289" s="31" t="s">
        <v>513</v>
      </c>
      <c r="I289" s="114"/>
      <c r="J289" s="114"/>
      <c r="K289" s="114"/>
      <c r="L289" s="114"/>
      <c r="M289" s="114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199</v>
      </c>
      <c r="G290" s="101" t="s">
        <v>198</v>
      </c>
      <c r="H290" s="24" t="s">
        <v>513</v>
      </c>
      <c r="I290" s="114"/>
      <c r="J290" s="114"/>
      <c r="K290" s="114"/>
      <c r="L290" s="114"/>
      <c r="M290" s="114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50</v>
      </c>
      <c r="G291" s="101" t="s">
        <v>198</v>
      </c>
      <c r="H291" s="24" t="s">
        <v>513</v>
      </c>
      <c r="I291" s="114"/>
      <c r="J291" s="114"/>
      <c r="K291" s="114"/>
      <c r="L291" s="114"/>
      <c r="M291" s="114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200</v>
      </c>
      <c r="G292" s="101" t="s">
        <v>198</v>
      </c>
      <c r="H292" s="24" t="s">
        <v>513</v>
      </c>
      <c r="I292" s="114"/>
      <c r="J292" s="114"/>
      <c r="K292" s="114"/>
      <c r="L292" s="114"/>
      <c r="M292" s="114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201</v>
      </c>
      <c r="G293" s="101" t="s">
        <v>198</v>
      </c>
      <c r="H293" s="24" t="s">
        <v>513</v>
      </c>
      <c r="I293" s="114"/>
      <c r="J293" s="114"/>
      <c r="K293" s="114"/>
      <c r="L293" s="114"/>
      <c r="M293" s="114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202</v>
      </c>
      <c r="G294" s="101" t="s">
        <v>198</v>
      </c>
      <c r="H294" s="24" t="s">
        <v>513</v>
      </c>
      <c r="I294" s="114"/>
      <c r="J294" s="114"/>
      <c r="K294" s="114"/>
      <c r="L294" s="114"/>
      <c r="M294" s="114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203</v>
      </c>
      <c r="G295" s="101" t="s">
        <v>198</v>
      </c>
      <c r="H295" s="24" t="s">
        <v>513</v>
      </c>
      <c r="I295" s="114"/>
      <c r="J295" s="114"/>
      <c r="K295" s="114"/>
      <c r="L295" s="114"/>
      <c r="M295" s="114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204</v>
      </c>
      <c r="G296" s="101" t="s">
        <v>198</v>
      </c>
      <c r="H296" s="24" t="s">
        <v>513</v>
      </c>
      <c r="I296" s="114"/>
      <c r="J296" s="114"/>
      <c r="K296" s="114"/>
      <c r="L296" s="114"/>
      <c r="M296" s="114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1" t="s">
        <v>205</v>
      </c>
      <c r="G297" s="101" t="s">
        <v>198</v>
      </c>
      <c r="H297" s="24" t="s">
        <v>513</v>
      </c>
      <c r="I297" s="114"/>
      <c r="J297" s="114"/>
      <c r="K297" s="114"/>
      <c r="L297" s="114"/>
      <c r="M297" s="114"/>
      <c r="N297" s="65"/>
      <c r="O297" s="39"/>
    </row>
    <row r="298" spans="1:15" x14ac:dyDescent="0.25">
      <c r="A298" s="39"/>
      <c r="B298" s="39"/>
      <c r="C298" s="39"/>
      <c r="D298" s="39"/>
      <c r="E298" s="39"/>
      <c r="F298" s="101" t="s">
        <v>206</v>
      </c>
      <c r="G298" s="101" t="s">
        <v>198</v>
      </c>
      <c r="H298" s="24" t="s">
        <v>513</v>
      </c>
      <c r="I298" s="114"/>
      <c r="J298" s="114"/>
      <c r="K298" s="114"/>
      <c r="L298" s="114"/>
      <c r="M298" s="114"/>
      <c r="N298" s="65"/>
      <c r="O298" s="39"/>
    </row>
    <row r="299" spans="1:15" x14ac:dyDescent="0.25">
      <c r="A299" s="39"/>
      <c r="B299" s="39"/>
      <c r="C299" s="39"/>
      <c r="D299" s="39"/>
      <c r="E299" s="39"/>
      <c r="F299" s="101" t="s">
        <v>207</v>
      </c>
      <c r="G299" s="101" t="s">
        <v>198</v>
      </c>
      <c r="H299" s="24" t="s">
        <v>513</v>
      </c>
      <c r="I299" s="114"/>
      <c r="J299" s="114"/>
      <c r="K299" s="114"/>
      <c r="L299" s="114"/>
      <c r="M299" s="114"/>
      <c r="N299" s="65"/>
      <c r="O299" s="39"/>
    </row>
    <row r="300" spans="1:15" x14ac:dyDescent="0.25">
      <c r="A300" s="39"/>
      <c r="B300" s="39"/>
      <c r="C300" s="39"/>
      <c r="D300" s="39"/>
      <c r="E300" s="39"/>
      <c r="F300" s="101" t="s">
        <v>208</v>
      </c>
      <c r="G300" s="101" t="s">
        <v>198</v>
      </c>
      <c r="H300" s="24" t="s">
        <v>513</v>
      </c>
      <c r="I300" s="114"/>
      <c r="J300" s="114"/>
      <c r="K300" s="114"/>
      <c r="L300" s="114"/>
      <c r="M300" s="114"/>
      <c r="N300" s="65"/>
      <c r="O300" s="39"/>
    </row>
    <row r="301" spans="1:15" x14ac:dyDescent="0.25">
      <c r="A301" s="39"/>
      <c r="B301" s="39"/>
      <c r="C301" s="39"/>
      <c r="D301" s="39"/>
      <c r="E301" s="39"/>
      <c r="F301" s="101" t="s">
        <v>209</v>
      </c>
      <c r="G301" s="101" t="s">
        <v>198</v>
      </c>
      <c r="H301" s="24" t="s">
        <v>513</v>
      </c>
      <c r="I301" s="114"/>
      <c r="J301" s="114"/>
      <c r="K301" s="114"/>
      <c r="L301" s="114"/>
      <c r="M301" s="114"/>
      <c r="N301" s="65"/>
      <c r="O301" s="39"/>
    </row>
    <row r="302" spans="1:15" x14ac:dyDescent="0.25">
      <c r="A302" s="39"/>
      <c r="B302" s="39"/>
      <c r="C302" s="39"/>
      <c r="D302" s="39"/>
      <c r="E302" s="39"/>
      <c r="F302" s="101" t="s">
        <v>368</v>
      </c>
      <c r="G302" s="101" t="s">
        <v>198</v>
      </c>
      <c r="H302" s="24" t="s">
        <v>513</v>
      </c>
      <c r="I302" s="114"/>
      <c r="J302" s="114"/>
      <c r="K302" s="114"/>
      <c r="L302" s="114"/>
      <c r="M302" s="114"/>
      <c r="N302" s="65"/>
      <c r="O302" s="39"/>
    </row>
    <row r="303" spans="1:15" x14ac:dyDescent="0.25">
      <c r="A303" s="39"/>
      <c r="B303" s="39"/>
      <c r="C303" s="39"/>
      <c r="D303" s="39"/>
      <c r="E303" s="39"/>
      <c r="F303" s="101" t="s">
        <v>369</v>
      </c>
      <c r="G303" s="101" t="s">
        <v>198</v>
      </c>
      <c r="H303" s="24" t="s">
        <v>513</v>
      </c>
      <c r="I303" s="114"/>
      <c r="J303" s="114"/>
      <c r="K303" s="114"/>
      <c r="L303" s="114"/>
      <c r="M303" s="114"/>
      <c r="N303" s="65"/>
      <c r="O303" s="39"/>
    </row>
    <row r="304" spans="1:15" x14ac:dyDescent="0.25">
      <c r="A304" s="39"/>
      <c r="B304" s="39"/>
      <c r="C304" s="39"/>
      <c r="D304" s="39"/>
      <c r="E304" s="39"/>
      <c r="F304" s="101" t="s">
        <v>370</v>
      </c>
      <c r="G304" s="101" t="s">
        <v>198</v>
      </c>
      <c r="H304" s="24" t="s">
        <v>513</v>
      </c>
      <c r="I304" s="114"/>
      <c r="J304" s="114"/>
      <c r="K304" s="114"/>
      <c r="L304" s="114"/>
      <c r="M304" s="114"/>
      <c r="N304" s="65"/>
      <c r="O304" s="39"/>
    </row>
    <row r="305" spans="1:15" x14ac:dyDescent="0.25">
      <c r="A305" s="39"/>
      <c r="B305" s="39"/>
      <c r="C305" s="39"/>
      <c r="D305" s="39"/>
      <c r="E305" s="39"/>
      <c r="F305" s="101" t="s">
        <v>371</v>
      </c>
      <c r="G305" s="101" t="s">
        <v>198</v>
      </c>
      <c r="H305" s="24" t="s">
        <v>513</v>
      </c>
      <c r="I305" s="114"/>
      <c r="J305" s="114"/>
      <c r="K305" s="114"/>
      <c r="L305" s="114"/>
      <c r="M305" s="114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64</v>
      </c>
      <c r="G306" s="101" t="s">
        <v>198</v>
      </c>
      <c r="H306" s="24" t="s">
        <v>513</v>
      </c>
      <c r="I306" s="114"/>
      <c r="J306" s="114"/>
      <c r="K306" s="114"/>
      <c r="L306" s="114"/>
      <c r="M306" s="114"/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65</v>
      </c>
      <c r="G307" s="101" t="s">
        <v>198</v>
      </c>
      <c r="H307" s="24" t="s">
        <v>513</v>
      </c>
      <c r="I307" s="114"/>
      <c r="J307" s="114"/>
      <c r="K307" s="114"/>
      <c r="L307" s="114"/>
      <c r="M307" s="114"/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210</v>
      </c>
      <c r="G308" s="101" t="s">
        <v>198</v>
      </c>
      <c r="H308" s="24" t="s">
        <v>513</v>
      </c>
      <c r="I308" s="114"/>
      <c r="J308" s="114"/>
      <c r="K308" s="114"/>
      <c r="L308" s="114"/>
      <c r="M308" s="114"/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211</v>
      </c>
      <c r="G309" s="101" t="s">
        <v>198</v>
      </c>
      <c r="H309" s="24" t="s">
        <v>513</v>
      </c>
      <c r="I309" s="114"/>
      <c r="J309" s="114"/>
      <c r="K309" s="114"/>
      <c r="L309" s="114"/>
      <c r="M309" s="114"/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212</v>
      </c>
      <c r="G310" s="101" t="s">
        <v>198</v>
      </c>
      <c r="H310" s="24" t="s">
        <v>513</v>
      </c>
      <c r="I310" s="114"/>
      <c r="J310" s="114"/>
      <c r="K310" s="114"/>
      <c r="L310" s="114"/>
      <c r="M310" s="114"/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372</v>
      </c>
      <c r="G311" s="101" t="s">
        <v>198</v>
      </c>
      <c r="H311" s="24" t="s">
        <v>38</v>
      </c>
      <c r="I311" s="114"/>
      <c r="J311" s="114"/>
      <c r="K311" s="114"/>
      <c r="L311" s="114"/>
      <c r="M311" s="114"/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373</v>
      </c>
      <c r="G312" s="101" t="s">
        <v>198</v>
      </c>
      <c r="H312" s="24" t="s">
        <v>38</v>
      </c>
      <c r="I312" s="114"/>
      <c r="J312" s="114"/>
      <c r="K312" s="114"/>
      <c r="L312" s="114"/>
      <c r="M312" s="114"/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71</v>
      </c>
      <c r="G313" s="101" t="s">
        <v>198</v>
      </c>
      <c r="H313" s="24" t="s">
        <v>513</v>
      </c>
      <c r="I313" s="114"/>
      <c r="J313" s="114"/>
      <c r="K313" s="114"/>
      <c r="L313" s="114"/>
      <c r="M313" s="114"/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72</v>
      </c>
      <c r="G314" s="101" t="s">
        <v>198</v>
      </c>
      <c r="H314" s="24" t="s">
        <v>513</v>
      </c>
      <c r="I314" s="114"/>
      <c r="J314" s="114"/>
      <c r="K314" s="114"/>
      <c r="L314" s="114"/>
      <c r="M314" s="114"/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73</v>
      </c>
      <c r="G315" s="101" t="s">
        <v>198</v>
      </c>
      <c r="H315" s="24" t="s">
        <v>513</v>
      </c>
      <c r="I315" s="114"/>
      <c r="J315" s="114"/>
      <c r="K315" s="114"/>
      <c r="L315" s="114"/>
      <c r="M315" s="114"/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374</v>
      </c>
      <c r="G316" s="101" t="s">
        <v>198</v>
      </c>
      <c r="H316" s="24" t="s">
        <v>513</v>
      </c>
      <c r="I316" s="114"/>
      <c r="J316" s="114"/>
      <c r="K316" s="114"/>
      <c r="L316" s="114"/>
      <c r="M316" s="114"/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375</v>
      </c>
      <c r="G317" s="101" t="s">
        <v>198</v>
      </c>
      <c r="H317" s="24" t="s">
        <v>513</v>
      </c>
      <c r="I317" s="114"/>
      <c r="J317" s="114"/>
      <c r="K317" s="114"/>
      <c r="L317" s="114"/>
      <c r="M317" s="114"/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376</v>
      </c>
      <c r="G318" s="101" t="s">
        <v>198</v>
      </c>
      <c r="H318" s="24" t="s">
        <v>38</v>
      </c>
      <c r="I318" s="114"/>
      <c r="J318" s="114"/>
      <c r="K318" s="114"/>
      <c r="L318" s="114"/>
      <c r="M318" s="114"/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377</v>
      </c>
      <c r="G319" s="101" t="s">
        <v>198</v>
      </c>
      <c r="H319" s="24" t="s">
        <v>38</v>
      </c>
      <c r="I319" s="114"/>
      <c r="J319" s="114"/>
      <c r="K319" s="114"/>
      <c r="L319" s="114"/>
      <c r="M319" s="114"/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378</v>
      </c>
      <c r="G320" s="101" t="s">
        <v>198</v>
      </c>
      <c r="H320" s="24" t="s">
        <v>513</v>
      </c>
      <c r="I320" s="114"/>
      <c r="J320" s="114"/>
      <c r="K320" s="114"/>
      <c r="L320" s="114"/>
      <c r="M320" s="114"/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379</v>
      </c>
      <c r="G321" s="101" t="s">
        <v>198</v>
      </c>
      <c r="H321" s="24" t="s">
        <v>513</v>
      </c>
      <c r="I321" s="114"/>
      <c r="J321" s="114"/>
      <c r="K321" s="114"/>
      <c r="L321" s="114"/>
      <c r="M321" s="114"/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80</v>
      </c>
      <c r="G322" s="101" t="s">
        <v>198</v>
      </c>
      <c r="H322" s="24" t="s">
        <v>513</v>
      </c>
      <c r="I322" s="114"/>
      <c r="J322" s="114"/>
      <c r="K322" s="114"/>
      <c r="L322" s="114"/>
      <c r="M322" s="114"/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380</v>
      </c>
      <c r="G323" s="101" t="s">
        <v>198</v>
      </c>
      <c r="H323" s="24" t="s">
        <v>513</v>
      </c>
      <c r="I323" s="114"/>
      <c r="J323" s="114"/>
      <c r="K323" s="114"/>
      <c r="L323" s="114"/>
      <c r="M323" s="114"/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381</v>
      </c>
      <c r="G324" s="101" t="s">
        <v>198</v>
      </c>
      <c r="H324" s="24" t="s">
        <v>513</v>
      </c>
      <c r="I324" s="114"/>
      <c r="J324" s="114"/>
      <c r="K324" s="114"/>
      <c r="L324" s="114"/>
      <c r="M324" s="114"/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382</v>
      </c>
      <c r="G325" s="101" t="s">
        <v>198</v>
      </c>
      <c r="H325" s="24" t="s">
        <v>513</v>
      </c>
      <c r="I325" s="114"/>
      <c r="J325" s="114"/>
      <c r="K325" s="114"/>
      <c r="L325" s="114"/>
      <c r="M325" s="114"/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383</v>
      </c>
      <c r="G326" s="101" t="s">
        <v>198</v>
      </c>
      <c r="H326" s="24" t="s">
        <v>513</v>
      </c>
      <c r="I326" s="114"/>
      <c r="J326" s="114"/>
      <c r="K326" s="114"/>
      <c r="L326" s="114"/>
      <c r="M326" s="114"/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384</v>
      </c>
      <c r="G327" s="101" t="s">
        <v>198</v>
      </c>
      <c r="H327" s="24" t="s">
        <v>513</v>
      </c>
      <c r="I327" s="114"/>
      <c r="J327" s="114"/>
      <c r="K327" s="114"/>
      <c r="L327" s="114"/>
      <c r="M327" s="114"/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385</v>
      </c>
      <c r="G328" s="101" t="s">
        <v>198</v>
      </c>
      <c r="H328" s="24" t="s">
        <v>513</v>
      </c>
      <c r="I328" s="114"/>
      <c r="J328" s="114"/>
      <c r="K328" s="114"/>
      <c r="L328" s="114"/>
      <c r="M328" s="114"/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213</v>
      </c>
      <c r="G329" s="101" t="s">
        <v>198</v>
      </c>
      <c r="H329" s="24" t="s">
        <v>37</v>
      </c>
      <c r="I329" s="114"/>
      <c r="J329" s="114"/>
      <c r="K329" s="114"/>
      <c r="L329" s="114"/>
      <c r="M329" s="114"/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214</v>
      </c>
      <c r="G330" s="101" t="s">
        <v>198</v>
      </c>
      <c r="H330" s="24" t="s">
        <v>37</v>
      </c>
      <c r="I330" s="114"/>
      <c r="J330" s="114"/>
      <c r="K330" s="114"/>
      <c r="L330" s="114"/>
      <c r="M330" s="114"/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215</v>
      </c>
      <c r="G331" s="101" t="s">
        <v>198</v>
      </c>
      <c r="H331" s="24" t="s">
        <v>37</v>
      </c>
      <c r="I331" s="114"/>
      <c r="J331" s="114"/>
      <c r="K331" s="114"/>
      <c r="L331" s="114"/>
      <c r="M331" s="114"/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216</v>
      </c>
      <c r="G332" s="101" t="s">
        <v>198</v>
      </c>
      <c r="H332" s="24" t="s">
        <v>37</v>
      </c>
      <c r="I332" s="114"/>
      <c r="J332" s="114"/>
      <c r="K332" s="114"/>
      <c r="L332" s="114"/>
      <c r="M332" s="114"/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91</v>
      </c>
      <c r="G333" s="101" t="s">
        <v>198</v>
      </c>
      <c r="H333" s="24" t="s">
        <v>37</v>
      </c>
      <c r="I333" s="114"/>
      <c r="J333" s="114"/>
      <c r="K333" s="114"/>
      <c r="L333" s="114"/>
      <c r="M333" s="114"/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92</v>
      </c>
      <c r="G334" s="101" t="s">
        <v>198</v>
      </c>
      <c r="H334" s="24" t="s">
        <v>37</v>
      </c>
      <c r="I334" s="114"/>
      <c r="J334" s="114"/>
      <c r="K334" s="114"/>
      <c r="L334" s="114"/>
      <c r="M334" s="114"/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93</v>
      </c>
      <c r="G335" s="101" t="s">
        <v>198</v>
      </c>
      <c r="H335" s="24" t="s">
        <v>37</v>
      </c>
      <c r="I335" s="114"/>
      <c r="J335" s="114"/>
      <c r="K335" s="114"/>
      <c r="L335" s="114"/>
      <c r="M335" s="114"/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94</v>
      </c>
      <c r="G336" s="101" t="s">
        <v>198</v>
      </c>
      <c r="H336" s="24" t="s">
        <v>37</v>
      </c>
      <c r="I336" s="114"/>
      <c r="J336" s="114"/>
      <c r="K336" s="114"/>
      <c r="L336" s="114"/>
      <c r="M336" s="114"/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217</v>
      </c>
      <c r="G337" s="101" t="s">
        <v>198</v>
      </c>
      <c r="H337" s="24" t="s">
        <v>37</v>
      </c>
      <c r="I337" s="114"/>
      <c r="J337" s="114"/>
      <c r="K337" s="114"/>
      <c r="L337" s="114"/>
      <c r="M337" s="114"/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218</v>
      </c>
      <c r="G338" s="101" t="s">
        <v>198</v>
      </c>
      <c r="H338" s="24" t="s">
        <v>37</v>
      </c>
      <c r="I338" s="114"/>
      <c r="J338" s="114"/>
      <c r="K338" s="114"/>
      <c r="L338" s="114"/>
      <c r="M338" s="114"/>
      <c r="N338" s="65"/>
      <c r="O338" s="39"/>
    </row>
    <row r="339" spans="1:15" x14ac:dyDescent="0.25">
      <c r="A339" s="39"/>
      <c r="B339" s="39"/>
      <c r="C339" s="39"/>
      <c r="D339" s="39"/>
      <c r="E339" s="39"/>
      <c r="F339" s="101" t="s">
        <v>219</v>
      </c>
      <c r="G339" s="101" t="s">
        <v>198</v>
      </c>
      <c r="H339" s="24" t="s">
        <v>37</v>
      </c>
      <c r="I339" s="114"/>
      <c r="J339" s="114"/>
      <c r="K339" s="114"/>
      <c r="L339" s="114"/>
      <c r="M339" s="11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101" t="s">
        <v>220</v>
      </c>
      <c r="G340" s="101" t="s">
        <v>198</v>
      </c>
      <c r="H340" s="24" t="s">
        <v>37</v>
      </c>
      <c r="I340" s="114"/>
      <c r="J340" s="114"/>
      <c r="K340" s="114"/>
      <c r="L340" s="114"/>
      <c r="M340" s="114"/>
      <c r="N340" s="65"/>
      <c r="O340" s="39"/>
    </row>
    <row r="341" spans="1:15" x14ac:dyDescent="0.25">
      <c r="A341" s="39"/>
      <c r="B341" s="39"/>
      <c r="C341" s="39"/>
      <c r="D341" s="39"/>
      <c r="E341" s="39"/>
      <c r="F341" s="101" t="s">
        <v>221</v>
      </c>
      <c r="G341" s="101" t="s">
        <v>198</v>
      </c>
      <c r="H341" s="24" t="s">
        <v>37</v>
      </c>
      <c r="I341" s="114"/>
      <c r="J341" s="114"/>
      <c r="K341" s="114"/>
      <c r="L341" s="114"/>
      <c r="M341" s="114"/>
      <c r="N341" s="65"/>
      <c r="O341" s="39"/>
    </row>
    <row r="342" spans="1:15" x14ac:dyDescent="0.25">
      <c r="A342" s="39"/>
      <c r="B342" s="39"/>
      <c r="C342" s="39"/>
      <c r="D342" s="39"/>
      <c r="E342" s="39"/>
      <c r="F342" s="101" t="s">
        <v>222</v>
      </c>
      <c r="G342" s="101" t="s">
        <v>198</v>
      </c>
      <c r="H342" s="24" t="s">
        <v>37</v>
      </c>
      <c r="I342" s="114"/>
      <c r="J342" s="114"/>
      <c r="K342" s="114"/>
      <c r="L342" s="114"/>
      <c r="M342" s="114"/>
      <c r="N342" s="65"/>
      <c r="O342" s="39"/>
    </row>
    <row r="343" spans="1:15" x14ac:dyDescent="0.25">
      <c r="A343" s="39"/>
      <c r="B343" s="39"/>
      <c r="C343" s="39"/>
      <c r="D343" s="39"/>
      <c r="E343" s="39"/>
      <c r="F343" s="101" t="s">
        <v>223</v>
      </c>
      <c r="G343" s="101" t="s">
        <v>198</v>
      </c>
      <c r="H343" s="24" t="s">
        <v>37</v>
      </c>
      <c r="I343" s="114"/>
      <c r="J343" s="114"/>
      <c r="K343" s="114"/>
      <c r="L343" s="114"/>
      <c r="M343" s="114"/>
      <c r="N343" s="65"/>
      <c r="O343" s="39"/>
    </row>
    <row r="344" spans="1:15" x14ac:dyDescent="0.25">
      <c r="A344" s="39"/>
      <c r="B344" s="39"/>
      <c r="C344" s="39"/>
      <c r="D344" s="39"/>
      <c r="E344" s="39"/>
      <c r="F344" s="101" t="s">
        <v>386</v>
      </c>
      <c r="G344" s="101" t="s">
        <v>198</v>
      </c>
      <c r="H344" s="24" t="s">
        <v>36</v>
      </c>
      <c r="I344" s="114"/>
      <c r="J344" s="114"/>
      <c r="K344" s="114"/>
      <c r="L344" s="114"/>
      <c r="M344" s="114"/>
      <c r="N344" s="65"/>
      <c r="O344" s="39"/>
    </row>
    <row r="345" spans="1:15" x14ac:dyDescent="0.25">
      <c r="A345" s="39"/>
      <c r="B345" s="39"/>
      <c r="C345" s="39"/>
      <c r="D345" s="39"/>
      <c r="E345" s="39"/>
      <c r="F345" s="101" t="s">
        <v>387</v>
      </c>
      <c r="G345" s="101" t="s">
        <v>198</v>
      </c>
      <c r="H345" s="24" t="s">
        <v>36</v>
      </c>
      <c r="I345" s="114"/>
      <c r="J345" s="114"/>
      <c r="K345" s="114"/>
      <c r="L345" s="114"/>
      <c r="M345" s="114"/>
      <c r="N345" s="65"/>
      <c r="O345" s="39"/>
    </row>
    <row r="346" spans="1:15" x14ac:dyDescent="0.25">
      <c r="A346" s="39"/>
      <c r="B346" s="39"/>
      <c r="C346" s="39"/>
      <c r="D346" s="39"/>
      <c r="E346" s="39"/>
      <c r="F346" s="101" t="s">
        <v>388</v>
      </c>
      <c r="G346" s="101" t="s">
        <v>198</v>
      </c>
      <c r="H346" s="24" t="s">
        <v>36</v>
      </c>
      <c r="I346" s="114"/>
      <c r="J346" s="114"/>
      <c r="K346" s="114"/>
      <c r="L346" s="114"/>
      <c r="M346" s="114"/>
      <c r="N346" s="65"/>
      <c r="O346" s="39"/>
    </row>
    <row r="347" spans="1:15" x14ac:dyDescent="0.25">
      <c r="A347" s="39"/>
      <c r="B347" s="39"/>
      <c r="C347" s="39"/>
      <c r="D347" s="39"/>
      <c r="E347" s="39"/>
      <c r="F347" s="101" t="s">
        <v>389</v>
      </c>
      <c r="G347" s="101" t="s">
        <v>198</v>
      </c>
      <c r="H347" s="24" t="s">
        <v>36</v>
      </c>
      <c r="I347" s="114"/>
      <c r="J347" s="114"/>
      <c r="K347" s="114"/>
      <c r="L347" s="114"/>
      <c r="M347" s="114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106</v>
      </c>
      <c r="G348" s="101" t="s">
        <v>198</v>
      </c>
      <c r="H348" s="24" t="s">
        <v>36</v>
      </c>
      <c r="I348" s="114"/>
      <c r="J348" s="114"/>
      <c r="K348" s="114"/>
      <c r="L348" s="114"/>
      <c r="M348" s="114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107</v>
      </c>
      <c r="G349" s="101" t="s">
        <v>198</v>
      </c>
      <c r="H349" s="24" t="s">
        <v>38</v>
      </c>
      <c r="I349" s="114"/>
      <c r="J349" s="114"/>
      <c r="K349" s="114"/>
      <c r="L349" s="114"/>
      <c r="M349" s="114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1" t="s">
        <v>390</v>
      </c>
      <c r="G350" s="101" t="s">
        <v>198</v>
      </c>
      <c r="H350" s="24" t="s">
        <v>36</v>
      </c>
      <c r="I350" s="114"/>
      <c r="J350" s="114"/>
      <c r="K350" s="114"/>
      <c r="L350" s="114"/>
      <c r="M350" s="114"/>
      <c r="N350" s="65"/>
      <c r="O350" s="39"/>
    </row>
    <row r="351" spans="1:15" x14ac:dyDescent="0.25">
      <c r="A351" s="39"/>
      <c r="B351" s="39"/>
      <c r="C351" s="39"/>
      <c r="D351" s="39"/>
      <c r="E351" s="39"/>
      <c r="F351" s="101" t="s">
        <v>109</v>
      </c>
      <c r="G351" s="101" t="s">
        <v>198</v>
      </c>
      <c r="H351" s="24" t="s">
        <v>38</v>
      </c>
      <c r="I351" s="114"/>
      <c r="J351" s="114"/>
      <c r="K351" s="114"/>
      <c r="L351" s="114"/>
      <c r="M351" s="114"/>
      <c r="N351" s="65"/>
      <c r="O351" s="39"/>
    </row>
    <row r="352" spans="1:15" x14ac:dyDescent="0.25">
      <c r="A352" s="39"/>
      <c r="B352" s="39"/>
      <c r="C352" s="39"/>
      <c r="D352" s="39"/>
      <c r="E352" s="39"/>
      <c r="F352" s="101" t="s">
        <v>391</v>
      </c>
      <c r="G352" s="101" t="s">
        <v>198</v>
      </c>
      <c r="H352" s="24" t="s">
        <v>38</v>
      </c>
      <c r="I352" s="114"/>
      <c r="J352" s="114"/>
      <c r="K352" s="114"/>
      <c r="L352" s="114"/>
      <c r="M352" s="114"/>
      <c r="N352" s="65"/>
      <c r="O352" s="39"/>
    </row>
    <row r="353" spans="1:15" x14ac:dyDescent="0.25">
      <c r="A353" s="39"/>
      <c r="B353" s="39"/>
      <c r="C353" s="39"/>
      <c r="D353" s="39"/>
      <c r="E353" s="39"/>
      <c r="F353" s="101" t="s">
        <v>392</v>
      </c>
      <c r="G353" s="101" t="s">
        <v>198</v>
      </c>
      <c r="H353" s="24" t="s">
        <v>38</v>
      </c>
      <c r="I353" s="114"/>
      <c r="J353" s="114"/>
      <c r="K353" s="114"/>
      <c r="L353" s="114"/>
      <c r="M353" s="114"/>
      <c r="N353" s="65"/>
      <c r="O353" s="39"/>
    </row>
    <row r="354" spans="1:15" x14ac:dyDescent="0.25">
      <c r="A354" s="39"/>
      <c r="B354" s="39"/>
      <c r="C354" s="39"/>
      <c r="D354" s="39"/>
      <c r="E354" s="39"/>
      <c r="F354" s="101" t="s">
        <v>112</v>
      </c>
      <c r="G354" s="101" t="s">
        <v>198</v>
      </c>
      <c r="H354" s="24" t="s">
        <v>38</v>
      </c>
      <c r="I354" s="114"/>
      <c r="J354" s="114"/>
      <c r="K354" s="114"/>
      <c r="L354" s="114"/>
      <c r="M354" s="114"/>
      <c r="N354" s="65"/>
      <c r="O354" s="39"/>
    </row>
    <row r="355" spans="1:15" x14ac:dyDescent="0.25">
      <c r="A355" s="39"/>
      <c r="B355" s="39"/>
      <c r="C355" s="39"/>
      <c r="D355" s="39"/>
      <c r="E355" s="39"/>
      <c r="F355" s="101" t="s">
        <v>113</v>
      </c>
      <c r="G355" s="101" t="s">
        <v>198</v>
      </c>
      <c r="H355" s="24" t="s">
        <v>38</v>
      </c>
      <c r="I355" s="114"/>
      <c r="J355" s="114"/>
      <c r="K355" s="114"/>
      <c r="L355" s="114"/>
      <c r="M355" s="114"/>
      <c r="N355" s="65"/>
      <c r="O355" s="39"/>
    </row>
    <row r="356" spans="1:15" x14ac:dyDescent="0.25">
      <c r="A356" s="39"/>
      <c r="B356" s="39"/>
      <c r="C356" s="39"/>
      <c r="D356" s="39"/>
      <c r="E356" s="39"/>
      <c r="F356" s="101" t="s">
        <v>114</v>
      </c>
      <c r="G356" s="101" t="s">
        <v>198</v>
      </c>
      <c r="H356" s="24" t="s">
        <v>38</v>
      </c>
      <c r="I356" s="114"/>
      <c r="J356" s="114"/>
      <c r="K356" s="114"/>
      <c r="L356" s="114"/>
      <c r="M356" s="114"/>
      <c r="N356" s="65"/>
      <c r="O356" s="39"/>
    </row>
    <row r="357" spans="1:15" x14ac:dyDescent="0.25">
      <c r="A357" s="39"/>
      <c r="B357" s="39"/>
      <c r="C357" s="39"/>
      <c r="D357" s="39"/>
      <c r="E357" s="39"/>
      <c r="F357" s="101" t="s">
        <v>224</v>
      </c>
      <c r="G357" s="101" t="s">
        <v>198</v>
      </c>
      <c r="H357" s="24" t="s">
        <v>35</v>
      </c>
      <c r="I357" s="114"/>
      <c r="J357" s="114"/>
      <c r="K357" s="114"/>
      <c r="L357" s="114"/>
      <c r="M357" s="114"/>
      <c r="N357" s="65"/>
      <c r="O357" s="39"/>
    </row>
    <row r="358" spans="1:15" x14ac:dyDescent="0.25">
      <c r="A358" s="39"/>
      <c r="B358" s="39"/>
      <c r="C358" s="39"/>
      <c r="D358" s="39"/>
      <c r="E358" s="39"/>
      <c r="F358" s="101" t="s">
        <v>225</v>
      </c>
      <c r="G358" s="101" t="s">
        <v>198</v>
      </c>
      <c r="H358" s="24" t="s">
        <v>35</v>
      </c>
      <c r="I358" s="114"/>
      <c r="J358" s="114"/>
      <c r="K358" s="114"/>
      <c r="L358" s="114"/>
      <c r="M358" s="114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117</v>
      </c>
      <c r="G359" s="101" t="s">
        <v>198</v>
      </c>
      <c r="H359" s="24" t="s">
        <v>35</v>
      </c>
      <c r="I359" s="114"/>
      <c r="J359" s="114"/>
      <c r="K359" s="114"/>
      <c r="L359" s="114"/>
      <c r="M359" s="114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118</v>
      </c>
      <c r="G360" s="101" t="s">
        <v>198</v>
      </c>
      <c r="H360" s="24" t="s">
        <v>35</v>
      </c>
      <c r="I360" s="114"/>
      <c r="J360" s="114"/>
      <c r="K360" s="114"/>
      <c r="L360" s="114"/>
      <c r="M360" s="114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119</v>
      </c>
      <c r="G361" s="101" t="s">
        <v>198</v>
      </c>
      <c r="H361" s="24" t="s">
        <v>35</v>
      </c>
      <c r="I361" s="114"/>
      <c r="J361" s="114"/>
      <c r="K361" s="114"/>
      <c r="L361" s="114"/>
      <c r="M361" s="114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1" t="s">
        <v>226</v>
      </c>
      <c r="G362" s="101" t="s">
        <v>198</v>
      </c>
      <c r="H362" s="24" t="s">
        <v>35</v>
      </c>
      <c r="I362" s="114"/>
      <c r="J362" s="114"/>
      <c r="K362" s="114"/>
      <c r="L362" s="114"/>
      <c r="M362" s="114"/>
      <c r="N362" s="65"/>
      <c r="O362" s="39"/>
    </row>
    <row r="363" spans="1:15" x14ac:dyDescent="0.25">
      <c r="A363" s="39"/>
      <c r="B363" s="39"/>
      <c r="C363" s="39"/>
      <c r="D363" s="39"/>
      <c r="E363" s="39"/>
      <c r="F363" s="101" t="s">
        <v>227</v>
      </c>
      <c r="G363" s="101" t="s">
        <v>198</v>
      </c>
      <c r="H363" s="24" t="s">
        <v>35</v>
      </c>
      <c r="I363" s="114"/>
      <c r="J363" s="114"/>
      <c r="K363" s="114"/>
      <c r="L363" s="114"/>
      <c r="M363" s="114"/>
      <c r="N363" s="65"/>
      <c r="O363" s="39"/>
    </row>
    <row r="364" spans="1:15" x14ac:dyDescent="0.25">
      <c r="A364" s="39"/>
      <c r="B364" s="39"/>
      <c r="C364" s="39"/>
      <c r="D364" s="39"/>
      <c r="E364" s="39"/>
      <c r="F364" s="101" t="s">
        <v>228</v>
      </c>
      <c r="G364" s="101" t="s">
        <v>198</v>
      </c>
      <c r="H364" s="24" t="s">
        <v>35</v>
      </c>
      <c r="I364" s="114"/>
      <c r="J364" s="114"/>
      <c r="K364" s="114"/>
      <c r="L364" s="114"/>
      <c r="M364" s="114"/>
      <c r="N364" s="65"/>
      <c r="O364" s="39"/>
    </row>
    <row r="365" spans="1:15" x14ac:dyDescent="0.25">
      <c r="A365" s="39"/>
      <c r="B365" s="39"/>
      <c r="C365" s="39"/>
      <c r="D365" s="39"/>
      <c r="E365" s="39"/>
      <c r="F365" s="101" t="s">
        <v>367</v>
      </c>
      <c r="G365" s="101" t="s">
        <v>198</v>
      </c>
      <c r="H365" s="24" t="s">
        <v>35</v>
      </c>
      <c r="I365" s="114"/>
      <c r="J365" s="114"/>
      <c r="K365" s="114"/>
      <c r="L365" s="114"/>
      <c r="M365" s="114"/>
      <c r="N365" s="65"/>
      <c r="O365" s="39"/>
    </row>
    <row r="366" spans="1:15" x14ac:dyDescent="0.25">
      <c r="A366" s="39"/>
      <c r="B366" s="39"/>
      <c r="C366" s="39"/>
      <c r="D366" s="39"/>
      <c r="E366" s="39"/>
      <c r="F366" s="101" t="s">
        <v>393</v>
      </c>
      <c r="G366" s="101" t="s">
        <v>198</v>
      </c>
      <c r="H366" s="24" t="s">
        <v>35</v>
      </c>
      <c r="I366" s="114"/>
      <c r="J366" s="114"/>
      <c r="K366" s="114"/>
      <c r="L366" s="114"/>
      <c r="M366" s="114"/>
      <c r="N366" s="65"/>
      <c r="O366" s="39"/>
    </row>
    <row r="367" spans="1:15" x14ac:dyDescent="0.25">
      <c r="A367" s="39"/>
      <c r="B367" s="39"/>
      <c r="C367" s="39"/>
      <c r="D367" s="39"/>
      <c r="E367" s="39"/>
      <c r="F367" s="101" t="s">
        <v>125</v>
      </c>
      <c r="G367" s="101" t="s">
        <v>198</v>
      </c>
      <c r="H367" s="24" t="s">
        <v>35</v>
      </c>
      <c r="I367" s="114"/>
      <c r="J367" s="114"/>
      <c r="K367" s="114"/>
      <c r="L367" s="114"/>
      <c r="M367" s="114"/>
      <c r="N367" s="65"/>
      <c r="O367" s="39"/>
    </row>
    <row r="368" spans="1:15" x14ac:dyDescent="0.25">
      <c r="A368" s="39"/>
      <c r="B368" s="39"/>
      <c r="C368" s="39"/>
      <c r="D368" s="39"/>
      <c r="E368" s="39"/>
      <c r="F368" s="101" t="s">
        <v>126</v>
      </c>
      <c r="G368" s="101" t="s">
        <v>198</v>
      </c>
      <c r="H368" s="24" t="s">
        <v>36</v>
      </c>
      <c r="I368" s="114"/>
      <c r="J368" s="114"/>
      <c r="K368" s="114"/>
      <c r="L368" s="114"/>
      <c r="M368" s="114"/>
      <c r="N368" s="65"/>
      <c r="O368" s="39"/>
    </row>
    <row r="369" spans="1:15" x14ac:dyDescent="0.25">
      <c r="A369" s="39"/>
      <c r="B369" s="39"/>
      <c r="C369" s="39"/>
      <c r="D369" s="39"/>
      <c r="E369" s="39"/>
      <c r="F369" s="101" t="s">
        <v>127</v>
      </c>
      <c r="G369" s="101" t="s">
        <v>198</v>
      </c>
      <c r="H369" s="24" t="s">
        <v>36</v>
      </c>
      <c r="I369" s="114"/>
      <c r="J369" s="114"/>
      <c r="K369" s="114"/>
      <c r="L369" s="114"/>
      <c r="M369" s="114"/>
      <c r="N369" s="65"/>
      <c r="O369" s="39"/>
    </row>
    <row r="370" spans="1:15" x14ac:dyDescent="0.25">
      <c r="A370" s="39"/>
      <c r="B370" s="39"/>
      <c r="C370" s="39"/>
      <c r="D370" s="39"/>
      <c r="E370" s="39"/>
      <c r="F370" s="101" t="s">
        <v>394</v>
      </c>
      <c r="G370" s="101" t="s">
        <v>198</v>
      </c>
      <c r="H370" s="24" t="s">
        <v>38</v>
      </c>
      <c r="I370" s="114"/>
      <c r="J370" s="114"/>
      <c r="K370" s="114"/>
      <c r="L370" s="114"/>
      <c r="M370" s="114"/>
      <c r="N370" s="65"/>
      <c r="O370" s="39"/>
    </row>
    <row r="371" spans="1:15" x14ac:dyDescent="0.25">
      <c r="A371" s="39"/>
      <c r="B371" s="39"/>
      <c r="C371" s="39"/>
      <c r="D371" s="39"/>
      <c r="E371" s="39"/>
      <c r="F371" s="101" t="s">
        <v>395</v>
      </c>
      <c r="G371" s="101" t="s">
        <v>198</v>
      </c>
      <c r="H371" s="24" t="s">
        <v>38</v>
      </c>
      <c r="I371" s="114"/>
      <c r="J371" s="114"/>
      <c r="K371" s="114"/>
      <c r="L371" s="114"/>
      <c r="M371" s="114"/>
      <c r="N371" s="65"/>
      <c r="O371" s="39"/>
    </row>
    <row r="372" spans="1:15" x14ac:dyDescent="0.25">
      <c r="A372" s="39"/>
      <c r="B372" s="39"/>
      <c r="C372" s="39"/>
      <c r="D372" s="39"/>
      <c r="E372" s="39"/>
      <c r="F372" s="101" t="s">
        <v>229</v>
      </c>
      <c r="G372" s="101" t="s">
        <v>198</v>
      </c>
      <c r="H372" s="24" t="s">
        <v>513</v>
      </c>
      <c r="I372" s="114"/>
      <c r="J372" s="114"/>
      <c r="K372" s="114"/>
      <c r="L372" s="114"/>
      <c r="M372" s="114"/>
      <c r="N372" s="65"/>
      <c r="O372" s="39"/>
    </row>
    <row r="373" spans="1:15" x14ac:dyDescent="0.25">
      <c r="A373" s="39"/>
      <c r="B373" s="39"/>
      <c r="C373" s="39"/>
      <c r="D373" s="39"/>
      <c r="E373" s="39"/>
      <c r="F373" s="103" t="s">
        <v>230</v>
      </c>
      <c r="G373" s="103" t="s">
        <v>198</v>
      </c>
      <c r="H373" s="25" t="s">
        <v>513</v>
      </c>
      <c r="I373" s="114"/>
      <c r="J373" s="114"/>
      <c r="K373" s="114"/>
      <c r="L373" s="114"/>
      <c r="M373" s="114"/>
      <c r="N373" s="65"/>
      <c r="O373" s="39"/>
    </row>
    <row r="374" spans="1:15" x14ac:dyDescent="0.25">
      <c r="A374" s="39"/>
      <c r="B374" s="39"/>
      <c r="C374" s="39"/>
      <c r="D374" s="39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39"/>
      <c r="B375" s="39"/>
      <c r="C375" s="96" t="s">
        <v>683</v>
      </c>
      <c r="D375" s="96"/>
      <c r="E375" s="96"/>
      <c r="F375" s="96"/>
      <c r="G375" s="96"/>
      <c r="H375" s="97"/>
      <c r="I375" s="97"/>
      <c r="J375" s="97"/>
      <c r="K375" s="97"/>
      <c r="L375" s="97"/>
      <c r="M375" s="97"/>
      <c r="N375" s="97"/>
      <c r="O375" s="96"/>
    </row>
    <row r="376" spans="1:15" x14ac:dyDescent="0.25">
      <c r="A376" s="39"/>
      <c r="B376" s="39"/>
      <c r="C376" s="95"/>
      <c r="D376" s="95"/>
      <c r="E376" s="39"/>
      <c r="F376" s="39"/>
      <c r="G376" s="39"/>
      <c r="H376" s="65"/>
      <c r="I376" s="65"/>
      <c r="J376" s="65"/>
      <c r="K376" s="65"/>
      <c r="L376" s="65"/>
      <c r="M376" s="65"/>
      <c r="N376" s="65"/>
      <c r="O376" s="39"/>
    </row>
    <row r="377" spans="1:15" x14ac:dyDescent="0.25">
      <c r="A377" s="39"/>
      <c r="B377" s="39"/>
      <c r="C377" s="95"/>
      <c r="D377" s="95" t="s">
        <v>684</v>
      </c>
      <c r="E377" s="39"/>
      <c r="F377" s="39"/>
      <c r="G377" s="39"/>
      <c r="H377" s="65"/>
      <c r="I377" s="65"/>
      <c r="J377" s="65"/>
      <c r="K377" s="65"/>
      <c r="L377" s="65"/>
      <c r="M377" s="65"/>
      <c r="N377" s="65"/>
      <c r="O377" s="39"/>
    </row>
    <row r="378" spans="1:15" x14ac:dyDescent="0.25">
      <c r="A378" s="39"/>
      <c r="B378" s="39"/>
      <c r="C378" s="95"/>
      <c r="D378" s="95"/>
      <c r="E378" s="39"/>
      <c r="F378" s="39"/>
      <c r="G378" s="39"/>
      <c r="H378" s="65"/>
      <c r="I378" s="65"/>
      <c r="J378" s="65"/>
      <c r="K378" s="65"/>
      <c r="L378" s="65"/>
      <c r="M378" s="65"/>
      <c r="N378" s="65"/>
      <c r="O378" s="39"/>
    </row>
    <row r="379" spans="1:15" x14ac:dyDescent="0.25">
      <c r="A379" s="107"/>
      <c r="B379" s="39"/>
      <c r="C379" s="39"/>
      <c r="D379" s="95"/>
      <c r="E379" s="98" t="s">
        <v>685</v>
      </c>
      <c r="F379" s="39"/>
      <c r="G379" s="39"/>
      <c r="H379" s="65"/>
      <c r="I379" s="112" t="s">
        <v>314</v>
      </c>
      <c r="J379" s="112"/>
      <c r="K379" s="112"/>
      <c r="L379" s="112"/>
      <c r="M379" s="112"/>
      <c r="N379" s="112"/>
      <c r="O379" s="101" t="s">
        <v>567</v>
      </c>
    </row>
    <row r="380" spans="1:15" x14ac:dyDescent="0.25">
      <c r="A380" s="39"/>
      <c r="B380" s="39"/>
      <c r="C380" s="39"/>
      <c r="D380" s="39"/>
      <c r="E380" s="39"/>
      <c r="F380" s="99" t="s">
        <v>166</v>
      </c>
      <c r="G380" s="99" t="s">
        <v>179</v>
      </c>
      <c r="H380" s="31">
        <v>0.25</v>
      </c>
      <c r="I380" s="114"/>
      <c r="J380" s="114"/>
      <c r="K380" s="114"/>
      <c r="L380" s="114"/>
      <c r="M380" s="114"/>
      <c r="N380" s="65"/>
      <c r="O380" s="39"/>
    </row>
    <row r="381" spans="1:15" x14ac:dyDescent="0.25">
      <c r="A381" s="39"/>
      <c r="B381" s="39"/>
      <c r="C381" s="39"/>
      <c r="D381" s="39"/>
      <c r="E381" s="39"/>
      <c r="F381" s="101" t="s">
        <v>40</v>
      </c>
      <c r="G381" s="101" t="s">
        <v>179</v>
      </c>
      <c r="H381" s="24">
        <v>0.5</v>
      </c>
      <c r="I381" s="114"/>
      <c r="J381" s="114"/>
      <c r="K381" s="114"/>
      <c r="L381" s="114"/>
      <c r="M381" s="114"/>
      <c r="N381" s="65"/>
      <c r="O381" s="39"/>
    </row>
    <row r="382" spans="1:15" x14ac:dyDescent="0.25">
      <c r="A382" s="39"/>
      <c r="B382" s="39"/>
      <c r="C382" s="39"/>
      <c r="D382" s="39"/>
      <c r="E382" s="39"/>
      <c r="F382" s="103" t="s">
        <v>165</v>
      </c>
      <c r="G382" s="103" t="s">
        <v>179</v>
      </c>
      <c r="H382" s="25">
        <v>1</v>
      </c>
      <c r="I382" s="114"/>
      <c r="J382" s="114"/>
      <c r="K382" s="114"/>
      <c r="L382" s="114"/>
      <c r="M382" s="114"/>
      <c r="N382" s="65"/>
      <c r="O382" s="39"/>
    </row>
    <row r="383" spans="1:15" x14ac:dyDescent="0.25">
      <c r="A383" s="39"/>
      <c r="B383" s="39"/>
      <c r="C383" s="39"/>
      <c r="D383" s="39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39"/>
      <c r="B384" s="39"/>
      <c r="C384" s="96" t="s">
        <v>686</v>
      </c>
      <c r="D384" s="96"/>
      <c r="E384" s="96"/>
      <c r="F384" s="96"/>
      <c r="G384" s="96"/>
      <c r="H384" s="97"/>
      <c r="I384" s="97"/>
      <c r="J384" s="97"/>
      <c r="K384" s="97"/>
      <c r="L384" s="97"/>
      <c r="M384" s="97"/>
      <c r="N384" s="97"/>
      <c r="O384" s="96"/>
    </row>
    <row r="385" spans="1:15" x14ac:dyDescent="0.25">
      <c r="A385" s="39"/>
      <c r="B385" s="39"/>
      <c r="C385" s="95"/>
      <c r="D385" s="95"/>
      <c r="E385" s="39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5"/>
      <c r="D386" s="95" t="s">
        <v>563</v>
      </c>
      <c r="E386" s="39"/>
      <c r="F386" s="39"/>
      <c r="G386" s="39"/>
      <c r="H386" s="65"/>
      <c r="I386" s="65"/>
      <c r="J386" s="65"/>
      <c r="K386" s="65"/>
      <c r="L386" s="65"/>
      <c r="M386" s="65"/>
      <c r="N386" s="65"/>
      <c r="O386" s="39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107"/>
      <c r="B388" s="39"/>
      <c r="C388" s="39"/>
      <c r="D388" s="95"/>
      <c r="E388" s="98" t="s">
        <v>687</v>
      </c>
      <c r="F388" s="39"/>
      <c r="G388" s="39"/>
      <c r="H388" s="65"/>
      <c r="I388" s="112" t="s">
        <v>314</v>
      </c>
      <c r="J388" s="112"/>
      <c r="K388" s="112"/>
      <c r="L388" s="112"/>
      <c r="M388" s="112"/>
      <c r="N388" s="112"/>
      <c r="O388" s="101" t="s">
        <v>567</v>
      </c>
    </row>
    <row r="389" spans="1:15" x14ac:dyDescent="0.25">
      <c r="A389" s="39"/>
      <c r="B389" s="39"/>
      <c r="C389" s="39"/>
      <c r="D389" s="39"/>
      <c r="E389" s="39"/>
      <c r="F389" s="99" t="s">
        <v>166</v>
      </c>
      <c r="G389" s="99" t="s">
        <v>179</v>
      </c>
      <c r="H389" s="31">
        <v>0.25</v>
      </c>
      <c r="I389" s="114"/>
      <c r="J389" s="114"/>
      <c r="K389" s="114"/>
      <c r="L389" s="114"/>
      <c r="M389" s="114"/>
      <c r="N389" s="65"/>
      <c r="O389" s="39"/>
    </row>
    <row r="390" spans="1:15" x14ac:dyDescent="0.25">
      <c r="A390" s="39"/>
      <c r="B390" s="39"/>
      <c r="C390" s="39"/>
      <c r="D390" s="39"/>
      <c r="E390" s="39"/>
      <c r="F390" s="101" t="s">
        <v>40</v>
      </c>
      <c r="G390" s="101" t="s">
        <v>179</v>
      </c>
      <c r="H390" s="24">
        <v>0.5</v>
      </c>
      <c r="I390" s="114"/>
      <c r="J390" s="114"/>
      <c r="K390" s="114"/>
      <c r="L390" s="114"/>
      <c r="M390" s="114"/>
      <c r="N390" s="65"/>
      <c r="O390" s="39"/>
    </row>
    <row r="391" spans="1:15" x14ac:dyDescent="0.25">
      <c r="A391" s="39"/>
      <c r="B391" s="39"/>
      <c r="C391" s="39"/>
      <c r="D391" s="39"/>
      <c r="E391" s="39"/>
      <c r="F391" s="103" t="s">
        <v>165</v>
      </c>
      <c r="G391" s="103" t="s">
        <v>179</v>
      </c>
      <c r="H391" s="117"/>
      <c r="I391" s="114"/>
      <c r="J391" s="114"/>
      <c r="K391" s="114"/>
      <c r="L391" s="114"/>
      <c r="M391" s="114"/>
      <c r="N391" s="65"/>
      <c r="O391" s="39"/>
    </row>
    <row r="392" spans="1:15" x14ac:dyDescent="0.25">
      <c r="A392" s="39"/>
      <c r="B392" s="39"/>
      <c r="C392" s="39"/>
      <c r="D392" s="39"/>
      <c r="E392" s="39"/>
      <c r="F392" s="39"/>
      <c r="G392" s="39"/>
      <c r="H392" s="65"/>
      <c r="I392" s="65"/>
      <c r="J392" s="65"/>
      <c r="K392" s="65"/>
      <c r="L392" s="65"/>
      <c r="M392" s="65"/>
      <c r="N392" s="65"/>
      <c r="O392" s="39"/>
    </row>
    <row r="393" spans="1:15" x14ac:dyDescent="0.25">
      <c r="A393" s="39"/>
      <c r="B393" s="39"/>
      <c r="C393" s="96" t="s">
        <v>617</v>
      </c>
      <c r="D393" s="96"/>
      <c r="E393" s="96"/>
      <c r="F393" s="96"/>
      <c r="G393" s="96"/>
      <c r="H393" s="97"/>
      <c r="I393" s="97"/>
      <c r="J393" s="97"/>
      <c r="K393" s="97"/>
      <c r="L393" s="97"/>
      <c r="M393" s="97"/>
      <c r="N393" s="97"/>
      <c r="O393" s="96"/>
    </row>
    <row r="394" spans="1:15" x14ac:dyDescent="0.25">
      <c r="A394" s="39"/>
      <c r="B394" s="39"/>
      <c r="C394" s="95"/>
      <c r="D394" s="95"/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666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 t="s">
        <v>667</v>
      </c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39"/>
      <c r="B397" s="39"/>
      <c r="C397" s="39"/>
      <c r="D397" s="95"/>
      <c r="E397" s="39"/>
      <c r="F397" s="39"/>
      <c r="G397" s="39"/>
      <c r="H397" s="65"/>
      <c r="I397" s="65"/>
      <c r="J397" s="65"/>
      <c r="K397" s="65"/>
      <c r="L397" s="65"/>
      <c r="M397" s="65"/>
      <c r="N397" s="65"/>
      <c r="O397" s="39"/>
    </row>
    <row r="398" spans="1:15" ht="45" x14ac:dyDescent="0.25">
      <c r="A398" s="107"/>
      <c r="B398" s="39"/>
      <c r="C398" s="39"/>
      <c r="D398" s="95"/>
      <c r="E398" s="98" t="s">
        <v>520</v>
      </c>
      <c r="F398" s="39"/>
      <c r="G398" s="39"/>
      <c r="H398" s="65"/>
      <c r="I398" s="112" t="s">
        <v>314</v>
      </c>
      <c r="J398" s="90" t="s">
        <v>279</v>
      </c>
      <c r="K398" s="90" t="s">
        <v>293</v>
      </c>
      <c r="L398" s="90" t="s">
        <v>294</v>
      </c>
      <c r="M398" s="90" t="s">
        <v>280</v>
      </c>
      <c r="N398" s="65"/>
      <c r="O398" s="101" t="s">
        <v>566</v>
      </c>
    </row>
    <row r="399" spans="1:15" x14ac:dyDescent="0.25">
      <c r="A399" s="39"/>
      <c r="B399" s="39"/>
      <c r="C399" s="39"/>
      <c r="D399" s="39"/>
      <c r="E399" s="39"/>
      <c r="F399" s="99" t="s">
        <v>35</v>
      </c>
      <c r="G399" s="99" t="s">
        <v>191</v>
      </c>
      <c r="H399" s="118"/>
      <c r="I399" s="118"/>
      <c r="J399" s="28">
        <v>1</v>
      </c>
      <c r="K399" s="28">
        <v>1</v>
      </c>
      <c r="L399" s="28">
        <v>1</v>
      </c>
      <c r="M399" s="28">
        <v>1</v>
      </c>
      <c r="N399" s="65"/>
      <c r="O399" s="39"/>
    </row>
    <row r="400" spans="1:15" x14ac:dyDescent="0.25">
      <c r="A400" s="39"/>
      <c r="B400" s="39"/>
      <c r="C400" s="39"/>
      <c r="D400" s="39"/>
      <c r="E400" s="39"/>
      <c r="F400" s="101" t="s">
        <v>36</v>
      </c>
      <c r="G400" s="101" t="s">
        <v>191</v>
      </c>
      <c r="H400" s="116"/>
      <c r="I400" s="116"/>
      <c r="J400" s="30">
        <v>1</v>
      </c>
      <c r="K400" s="30">
        <v>1</v>
      </c>
      <c r="L400" s="30">
        <v>1</v>
      </c>
      <c r="M400" s="30">
        <v>1</v>
      </c>
      <c r="N400" s="65"/>
      <c r="O400" s="39"/>
    </row>
    <row r="401" spans="1:15" x14ac:dyDescent="0.25">
      <c r="A401" s="39"/>
      <c r="B401" s="39"/>
      <c r="C401" s="39"/>
      <c r="D401" s="39"/>
      <c r="E401" s="39"/>
      <c r="F401" s="101" t="s">
        <v>37</v>
      </c>
      <c r="G401" s="101" t="s">
        <v>191</v>
      </c>
      <c r="H401" s="116"/>
      <c r="I401" s="116"/>
      <c r="J401" s="30">
        <v>1</v>
      </c>
      <c r="K401" s="30">
        <v>1</v>
      </c>
      <c r="L401" s="30">
        <v>1</v>
      </c>
      <c r="M401" s="30">
        <v>1</v>
      </c>
      <c r="N401" s="65"/>
      <c r="O401" s="39"/>
    </row>
    <row r="402" spans="1:15" x14ac:dyDescent="0.25">
      <c r="A402" s="39"/>
      <c r="B402" s="39"/>
      <c r="C402" s="39"/>
      <c r="D402" s="39"/>
      <c r="E402" s="39"/>
      <c r="F402" s="101" t="s">
        <v>38</v>
      </c>
      <c r="G402" s="101" t="s">
        <v>191</v>
      </c>
      <c r="H402" s="116"/>
      <c r="I402" s="116"/>
      <c r="J402" s="30">
        <v>1</v>
      </c>
      <c r="K402" s="30">
        <v>1</v>
      </c>
      <c r="L402" s="30">
        <v>1</v>
      </c>
      <c r="M402" s="30">
        <v>1</v>
      </c>
      <c r="N402" s="65"/>
      <c r="O402" s="39"/>
    </row>
    <row r="403" spans="1:15" x14ac:dyDescent="0.25">
      <c r="A403" s="39"/>
      <c r="B403" s="39"/>
      <c r="C403" s="39"/>
      <c r="D403" s="39"/>
      <c r="E403" s="39"/>
      <c r="F403" s="101" t="s">
        <v>40</v>
      </c>
      <c r="G403" s="101" t="s">
        <v>191</v>
      </c>
      <c r="H403" s="116"/>
      <c r="I403" s="116"/>
      <c r="J403" s="30">
        <v>1</v>
      </c>
      <c r="K403" s="30">
        <v>1</v>
      </c>
      <c r="L403" s="30">
        <v>1</v>
      </c>
      <c r="M403" s="119"/>
      <c r="N403" s="65"/>
      <c r="O403" s="39"/>
    </row>
    <row r="404" spans="1:15" x14ac:dyDescent="0.25">
      <c r="A404" s="39"/>
      <c r="B404" s="39"/>
      <c r="C404" s="39"/>
      <c r="D404" s="39"/>
      <c r="E404" s="39"/>
      <c r="F404" s="101" t="s">
        <v>41</v>
      </c>
      <c r="G404" s="101" t="s">
        <v>191</v>
      </c>
      <c r="H404" s="116"/>
      <c r="I404" s="116"/>
      <c r="J404" s="30">
        <v>1</v>
      </c>
      <c r="K404" s="30">
        <v>1</v>
      </c>
      <c r="L404" s="119"/>
      <c r="M404" s="119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3" t="s">
        <v>165</v>
      </c>
      <c r="G405" s="103" t="s">
        <v>191</v>
      </c>
      <c r="H405" s="120"/>
      <c r="I405" s="121"/>
      <c r="J405" s="32">
        <v>1</v>
      </c>
      <c r="K405" s="122"/>
      <c r="L405" s="122"/>
      <c r="M405" s="122"/>
      <c r="N405" s="65"/>
      <c r="O405" s="39"/>
    </row>
    <row r="406" spans="1:15" x14ac:dyDescent="0.25">
      <c r="A406" s="39"/>
      <c r="B406" s="39"/>
      <c r="C406" s="39"/>
      <c r="D406" s="39"/>
      <c r="E406" s="39"/>
      <c r="F406" s="39"/>
      <c r="G406" s="39"/>
      <c r="H406" s="65"/>
      <c r="I406" s="65"/>
      <c r="J406" s="65"/>
      <c r="K406" s="65"/>
      <c r="L406" s="65"/>
      <c r="M406" s="65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199" t="s">
        <v>749</v>
      </c>
      <c r="D408" s="199"/>
      <c r="E408" s="199"/>
      <c r="F408" s="199"/>
      <c r="G408" s="199"/>
      <c r="H408" s="199"/>
      <c r="I408" s="199"/>
      <c r="J408" s="199"/>
      <c r="K408" s="199"/>
      <c r="L408" s="199"/>
      <c r="M408" s="199"/>
      <c r="N408" s="199"/>
      <c r="O408" s="199"/>
    </row>
    <row r="409" spans="1:15" x14ac:dyDescent="0.25">
      <c r="A409" s="39"/>
      <c r="B409" s="39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E410" t="s">
        <v>747</v>
      </c>
      <c r="G410" t="s">
        <v>748</v>
      </c>
      <c r="H410" s="200">
        <v>3</v>
      </c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39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93" t="s">
        <v>30</v>
      </c>
      <c r="C412" s="93"/>
      <c r="D412" s="93"/>
      <c r="E412" s="93"/>
      <c r="F412" s="93"/>
      <c r="G412" s="93"/>
      <c r="H412" s="94"/>
      <c r="I412" s="94"/>
      <c r="J412" s="94"/>
      <c r="K412" s="94"/>
      <c r="L412" s="94"/>
      <c r="M412" s="94"/>
      <c r="N412" s="94"/>
      <c r="O412" s="93"/>
    </row>
  </sheetData>
  <sheetProtection sheet="1" formatCells="0" formatColumns="0" formatRows="0" sort="0" autoFilter="0"/>
  <dataConsolidate/>
  <conditionalFormatting sqref="Q4:XFD4">
    <cfRule type="expression" dxfId="45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zoomScale="70" zoomScaleNormal="70" workbookViewId="0">
      <pane xSplit="9" ySplit="5" topLeftCell="J27" activePane="bottomRight" state="frozenSplit"/>
      <selection pane="topRight"/>
      <selection pane="bottomLeft"/>
      <selection pane="bottomRight" activeCell="H40" sqref="H40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DNO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435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660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434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618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95" t="s">
        <v>536</v>
      </c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95"/>
      <c r="E18" s="39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107"/>
      <c r="B19" s="39"/>
      <c r="C19" s="39"/>
      <c r="D19" s="39"/>
      <c r="E19" s="101" t="s">
        <v>43</v>
      </c>
      <c r="F19" s="39"/>
      <c r="G19" s="101" t="s">
        <v>44</v>
      </c>
      <c r="H19" s="33">
        <v>0.15566663061095048</v>
      </c>
      <c r="I19" s="111" t="s">
        <v>314</v>
      </c>
      <c r="J19" s="115"/>
      <c r="K19" s="115"/>
      <c r="L19" s="115"/>
      <c r="M19" s="115"/>
      <c r="N19" s="65"/>
      <c r="O19" s="101" t="s">
        <v>597</v>
      </c>
    </row>
    <row r="20" spans="1:15" x14ac:dyDescent="0.25">
      <c r="A20" s="39"/>
      <c r="B20" s="39"/>
      <c r="C20" s="39"/>
      <c r="D20" s="39"/>
      <c r="E20" s="95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6" t="s">
        <v>619</v>
      </c>
      <c r="D21" s="96"/>
      <c r="E21" s="96"/>
      <c r="F21" s="96"/>
      <c r="G21" s="96"/>
      <c r="H21" s="97"/>
      <c r="I21" s="97"/>
      <c r="J21" s="97"/>
      <c r="K21" s="97"/>
      <c r="L21" s="97"/>
      <c r="M21" s="97"/>
      <c r="N21" s="97"/>
      <c r="O21" s="96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39"/>
      <c r="D23" s="95" t="s">
        <v>461</v>
      </c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39"/>
    </row>
    <row r="24" spans="1:15" x14ac:dyDescent="0.25">
      <c r="A24" s="39"/>
      <c r="B24" s="39"/>
      <c r="C24" s="39"/>
      <c r="D24" s="95" t="s">
        <v>462</v>
      </c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39"/>
      <c r="D25" s="95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107"/>
      <c r="B26" s="39"/>
      <c r="C26" s="39"/>
      <c r="D26" s="39"/>
      <c r="E26" s="101" t="s">
        <v>45</v>
      </c>
      <c r="F26" s="39"/>
      <c r="G26" s="101" t="s">
        <v>44</v>
      </c>
      <c r="H26" s="33">
        <v>0.88845608931048481</v>
      </c>
      <c r="I26" s="111" t="s">
        <v>314</v>
      </c>
      <c r="J26" s="115"/>
      <c r="K26" s="115"/>
      <c r="L26" s="115"/>
      <c r="M26" s="115"/>
      <c r="N26" s="65"/>
      <c r="O26" s="101" t="s">
        <v>598</v>
      </c>
    </row>
    <row r="27" spans="1:15" x14ac:dyDescent="0.25">
      <c r="A27" s="39"/>
      <c r="B27" s="39"/>
      <c r="C27" s="39"/>
      <c r="D27" s="39"/>
      <c r="E27" s="95"/>
      <c r="F27" s="39"/>
      <c r="G27" s="39"/>
      <c r="H27" s="65"/>
      <c r="I27" s="65"/>
      <c r="J27" s="65"/>
      <c r="K27" s="65"/>
      <c r="L27" s="65"/>
      <c r="M27" s="65"/>
      <c r="N27" s="65"/>
      <c r="O27" s="39"/>
    </row>
    <row r="28" spans="1:15" x14ac:dyDescent="0.25">
      <c r="A28" s="39"/>
      <c r="B28" s="93" t="s">
        <v>432</v>
      </c>
      <c r="C28" s="93"/>
      <c r="D28" s="93"/>
      <c r="E28" s="93"/>
      <c r="F28" s="93"/>
      <c r="G28" s="93"/>
      <c r="H28" s="94"/>
      <c r="I28" s="94"/>
      <c r="J28" s="94"/>
      <c r="K28" s="94"/>
      <c r="L28" s="94"/>
      <c r="M28" s="94"/>
      <c r="N28" s="94"/>
      <c r="O28" s="93"/>
    </row>
    <row r="29" spans="1:15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436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620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418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710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7"/>
      <c r="B37" s="39"/>
      <c r="C37" s="39"/>
      <c r="D37" s="95"/>
      <c r="E37" s="98" t="s">
        <v>417</v>
      </c>
      <c r="F37" s="39"/>
      <c r="G37" s="39"/>
      <c r="H37" s="65"/>
      <c r="I37" s="112" t="s">
        <v>314</v>
      </c>
      <c r="J37" s="65"/>
      <c r="K37" s="65"/>
      <c r="L37" s="65"/>
      <c r="M37" s="65"/>
      <c r="N37" s="65"/>
      <c r="O37" s="101" t="s">
        <v>599</v>
      </c>
    </row>
    <row r="38" spans="1:15" x14ac:dyDescent="0.25">
      <c r="A38" s="39"/>
      <c r="B38" s="39"/>
      <c r="C38" s="39"/>
      <c r="D38" s="39"/>
      <c r="E38" s="95"/>
      <c r="F38" s="99" t="s">
        <v>35</v>
      </c>
      <c r="G38" s="99" t="s">
        <v>439</v>
      </c>
      <c r="H38" s="34">
        <v>451907885.25652325</v>
      </c>
      <c r="I38" s="110"/>
      <c r="J38" s="110"/>
      <c r="K38" s="110"/>
      <c r="L38" s="110"/>
      <c r="M38" s="110"/>
      <c r="N38" s="65"/>
      <c r="O38" s="39"/>
    </row>
    <row r="39" spans="1:15" x14ac:dyDescent="0.25">
      <c r="A39" s="39"/>
      <c r="B39" s="39"/>
      <c r="C39" s="39"/>
      <c r="D39" s="39"/>
      <c r="E39" s="39"/>
      <c r="F39" s="101" t="s">
        <v>36</v>
      </c>
      <c r="G39" s="101" t="s">
        <v>439</v>
      </c>
      <c r="H39" s="35">
        <v>99709541.48543556</v>
      </c>
      <c r="I39" s="110"/>
      <c r="J39" s="110"/>
      <c r="K39" s="110"/>
      <c r="L39" s="110"/>
      <c r="M39" s="110"/>
      <c r="N39" s="65"/>
      <c r="O39" s="39"/>
    </row>
    <row r="40" spans="1:15" x14ac:dyDescent="0.25">
      <c r="A40" s="39"/>
      <c r="B40" s="39"/>
      <c r="C40" s="39"/>
      <c r="D40" s="39"/>
      <c r="E40" s="39"/>
      <c r="F40" s="101" t="s">
        <v>37</v>
      </c>
      <c r="G40" s="101" t="s">
        <v>439</v>
      </c>
      <c r="H40" s="35">
        <v>110569730.82265268</v>
      </c>
      <c r="I40" s="110"/>
      <c r="J40" s="110"/>
      <c r="K40" s="110"/>
      <c r="L40" s="110"/>
      <c r="M40" s="110"/>
      <c r="N40" s="65"/>
      <c r="O40" s="39"/>
    </row>
    <row r="41" spans="1:15" x14ac:dyDescent="0.25">
      <c r="A41" s="39"/>
      <c r="B41" s="39"/>
      <c r="C41" s="39"/>
      <c r="D41" s="39"/>
      <c r="E41" s="39"/>
      <c r="F41" s="101" t="s">
        <v>38</v>
      </c>
      <c r="G41" s="101" t="s">
        <v>439</v>
      </c>
      <c r="H41" s="35">
        <v>292992667.77739102</v>
      </c>
      <c r="I41" s="110"/>
      <c r="J41" s="110"/>
      <c r="K41" s="110"/>
      <c r="L41" s="110"/>
      <c r="M41" s="110"/>
      <c r="N41" s="65"/>
      <c r="O41" s="39"/>
    </row>
    <row r="42" spans="1:15" x14ac:dyDescent="0.25">
      <c r="A42" s="39"/>
      <c r="B42" s="39"/>
      <c r="C42" s="39"/>
      <c r="D42" s="39"/>
      <c r="E42" s="39"/>
      <c r="F42" s="103" t="s">
        <v>39</v>
      </c>
      <c r="G42" s="103" t="s">
        <v>439</v>
      </c>
      <c r="H42" s="36">
        <v>318498242.5608086</v>
      </c>
      <c r="I42" s="110"/>
      <c r="J42" s="110"/>
      <c r="K42" s="110"/>
      <c r="L42" s="110"/>
      <c r="M42" s="110"/>
      <c r="N42" s="65"/>
      <c r="O42" s="39"/>
    </row>
    <row r="43" spans="1:15" x14ac:dyDescent="0.25">
      <c r="A43" s="39"/>
      <c r="B43" s="39"/>
      <c r="C43" s="39"/>
      <c r="D43" s="39"/>
      <c r="E43" s="39"/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201"/>
      <c r="B44" s="39"/>
      <c r="C44" s="96" t="s">
        <v>773</v>
      </c>
      <c r="D44" s="96"/>
      <c r="E44" s="96"/>
      <c r="F44" s="96"/>
      <c r="G44" s="96"/>
      <c r="H44" s="97"/>
      <c r="I44" s="97"/>
      <c r="J44" s="97"/>
      <c r="K44" s="97"/>
      <c r="L44" s="97"/>
      <c r="M44" s="97"/>
      <c r="N44" s="97"/>
      <c r="O44" s="96"/>
    </row>
    <row r="45" spans="1:15" x14ac:dyDescent="0.25">
      <c r="A45" s="201"/>
      <c r="B45" s="39"/>
      <c r="C45" s="95"/>
      <c r="D45" s="95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201"/>
      <c r="B46" s="39"/>
      <c r="C46" s="39"/>
      <c r="D46" s="95" t="s">
        <v>774</v>
      </c>
      <c r="E46" s="39"/>
      <c r="F46" s="39"/>
      <c r="G46" s="39"/>
      <c r="H46" s="65"/>
      <c r="I46" s="65"/>
      <c r="J46" s="65"/>
      <c r="K46" s="65"/>
      <c r="L46" s="65"/>
      <c r="M46" s="65"/>
      <c r="N46" s="65"/>
      <c r="O46" s="39"/>
    </row>
    <row r="47" spans="1:15" x14ac:dyDescent="0.25">
      <c r="A47" s="201"/>
      <c r="B47" s="39"/>
      <c r="C47" s="39"/>
      <c r="D47" s="95" t="s">
        <v>783</v>
      </c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39"/>
    </row>
    <row r="48" spans="1:15" x14ac:dyDescent="0.25">
      <c r="A48" s="201"/>
      <c r="B48" s="39"/>
      <c r="C48" s="39"/>
      <c r="D48" s="95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202"/>
      <c r="B49" s="39"/>
      <c r="C49" s="39"/>
      <c r="D49" s="39"/>
      <c r="E49" s="101" t="s">
        <v>755</v>
      </c>
      <c r="F49" s="39"/>
      <c r="G49" s="101" t="s">
        <v>439</v>
      </c>
      <c r="H49" s="35">
        <v>7026821.8274153257</v>
      </c>
      <c r="I49" s="123" t="s">
        <v>314</v>
      </c>
      <c r="J49" s="110"/>
      <c r="K49" s="110"/>
      <c r="L49" s="110"/>
      <c r="M49" s="110"/>
      <c r="N49" s="65"/>
      <c r="O49" s="124" t="s">
        <v>782</v>
      </c>
    </row>
    <row r="50" spans="1:15" x14ac:dyDescent="0.25">
      <c r="A50" s="201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96" t="s">
        <v>759</v>
      </c>
      <c r="D51" s="96"/>
      <c r="E51" s="96"/>
      <c r="F51" s="96"/>
      <c r="G51" s="96"/>
      <c r="H51" s="97"/>
      <c r="I51" s="97"/>
      <c r="J51" s="97"/>
      <c r="K51" s="97"/>
      <c r="L51" s="97"/>
      <c r="M51" s="97"/>
      <c r="N51" s="97"/>
      <c r="O51" s="96"/>
    </row>
    <row r="52" spans="1:15" x14ac:dyDescent="0.25">
      <c r="A52" s="39"/>
      <c r="B52" s="39"/>
      <c r="C52" s="95"/>
      <c r="D52" s="95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419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 t="s">
        <v>693</v>
      </c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39"/>
      <c r="B55" s="39"/>
      <c r="C55" s="39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39"/>
    </row>
    <row r="56" spans="1:15" x14ac:dyDescent="0.25">
      <c r="A56" s="107"/>
      <c r="B56" s="39"/>
      <c r="C56" s="39"/>
      <c r="D56" s="39"/>
      <c r="E56" s="101" t="s">
        <v>42</v>
      </c>
      <c r="F56" s="39"/>
      <c r="G56" s="101" t="s">
        <v>439</v>
      </c>
      <c r="H56" s="35">
        <v>216873433.88036281</v>
      </c>
      <c r="I56" s="123" t="s">
        <v>314</v>
      </c>
      <c r="J56" s="110"/>
      <c r="K56" s="110"/>
      <c r="L56" s="110"/>
      <c r="M56" s="110"/>
      <c r="N56" s="65"/>
      <c r="O56" s="124" t="s">
        <v>568</v>
      </c>
    </row>
    <row r="57" spans="1:15" x14ac:dyDescent="0.25">
      <c r="A57" s="39"/>
      <c r="B57" s="39"/>
      <c r="C57" s="39"/>
      <c r="D57" s="39"/>
      <c r="E57" s="95"/>
      <c r="F57" s="39"/>
      <c r="G57" s="39"/>
      <c r="H57" s="65"/>
      <c r="I57" s="65"/>
      <c r="J57" s="65"/>
      <c r="K57" s="65"/>
      <c r="L57" s="65"/>
      <c r="M57" s="65"/>
      <c r="N57" s="65"/>
      <c r="O57" s="39"/>
    </row>
    <row r="58" spans="1:15" x14ac:dyDescent="0.25">
      <c r="A58" s="39"/>
      <c r="B58" s="93" t="s">
        <v>777</v>
      </c>
      <c r="C58" s="93"/>
      <c r="D58" s="93"/>
      <c r="E58" s="93"/>
      <c r="F58" s="93"/>
      <c r="G58" s="93"/>
      <c r="H58" s="94"/>
      <c r="I58" s="94"/>
      <c r="J58" s="94"/>
      <c r="K58" s="94"/>
      <c r="L58" s="94"/>
      <c r="M58" s="94"/>
      <c r="N58" s="94"/>
      <c r="O58" s="93"/>
    </row>
    <row r="59" spans="1:15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39"/>
    </row>
    <row r="60" spans="1:15" x14ac:dyDescent="0.25">
      <c r="A60" s="39"/>
      <c r="B60" s="39"/>
      <c r="C60" s="95" t="s">
        <v>775</v>
      </c>
      <c r="D60" s="95"/>
      <c r="E60" s="39"/>
      <c r="F60" s="39"/>
      <c r="G60" s="39"/>
      <c r="H60" s="65"/>
      <c r="I60" s="65"/>
      <c r="J60" s="65"/>
      <c r="K60" s="65"/>
      <c r="L60" s="65"/>
      <c r="M60" s="65"/>
      <c r="N60" s="65"/>
      <c r="O60" s="39"/>
    </row>
    <row r="61" spans="1:15" x14ac:dyDescent="0.25">
      <c r="A61" s="39"/>
      <c r="B61" s="39"/>
      <c r="C61" s="95"/>
      <c r="D61" s="95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776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778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/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107"/>
      <c r="B66" s="39"/>
      <c r="C66" s="39"/>
      <c r="D66" s="39"/>
      <c r="E66" s="101" t="s">
        <v>779</v>
      </c>
      <c r="F66" s="39"/>
      <c r="G66" s="101" t="s">
        <v>179</v>
      </c>
      <c r="H66" s="203">
        <v>208.5916666666667</v>
      </c>
      <c r="I66" s="111" t="s">
        <v>314</v>
      </c>
      <c r="J66" s="115"/>
      <c r="K66" s="115"/>
      <c r="L66" s="115"/>
      <c r="M66" s="115"/>
      <c r="N66" s="65"/>
      <c r="O66" s="124" t="s">
        <v>782</v>
      </c>
    </row>
    <row r="67" spans="1:15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39"/>
    </row>
    <row r="68" spans="1:15" x14ac:dyDescent="0.25">
      <c r="A68" s="107"/>
      <c r="B68" s="39"/>
      <c r="C68" s="39"/>
      <c r="D68" s="39"/>
      <c r="E68" s="101" t="s">
        <v>780</v>
      </c>
      <c r="F68" s="39"/>
      <c r="G68" s="101" t="s">
        <v>179</v>
      </c>
      <c r="H68" s="35">
        <v>375.3960139708401</v>
      </c>
      <c r="I68" s="111" t="s">
        <v>314</v>
      </c>
      <c r="J68" s="115"/>
      <c r="K68" s="115"/>
      <c r="L68" s="115"/>
      <c r="M68" s="115"/>
      <c r="N68" s="65"/>
      <c r="O68" s="124" t="s">
        <v>782</v>
      </c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93" t="s">
        <v>433</v>
      </c>
      <c r="C70" s="93"/>
      <c r="D70" s="93"/>
      <c r="E70" s="93"/>
      <c r="F70" s="93"/>
      <c r="G70" s="93"/>
      <c r="H70" s="94"/>
      <c r="I70" s="94"/>
      <c r="J70" s="94"/>
      <c r="K70" s="94"/>
      <c r="L70" s="94"/>
      <c r="M70" s="94"/>
      <c r="N70" s="94"/>
      <c r="O70" s="93"/>
    </row>
    <row r="71" spans="1:15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95" t="s">
        <v>688</v>
      </c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39"/>
    </row>
    <row r="74" spans="1:15" x14ac:dyDescent="0.25">
      <c r="A74" s="39"/>
      <c r="B74" s="39"/>
      <c r="C74" s="96" t="s">
        <v>760</v>
      </c>
      <c r="D74" s="96"/>
      <c r="E74" s="96"/>
      <c r="F74" s="96"/>
      <c r="G74" s="96"/>
      <c r="H74" s="97"/>
      <c r="I74" s="97"/>
      <c r="J74" s="97"/>
      <c r="K74" s="97"/>
      <c r="L74" s="97"/>
      <c r="M74" s="97"/>
      <c r="N74" s="97"/>
      <c r="O74" s="96"/>
    </row>
    <row r="75" spans="1:15" x14ac:dyDescent="0.25">
      <c r="A75" s="39"/>
      <c r="B75" s="39"/>
      <c r="C75" s="95"/>
      <c r="D75" s="95"/>
      <c r="E75" s="39"/>
      <c r="F75" s="39"/>
      <c r="G75" s="39"/>
      <c r="H75" s="65"/>
      <c r="I75" s="65"/>
      <c r="J75" s="65"/>
      <c r="K75" s="65"/>
      <c r="L75" s="65"/>
      <c r="M75" s="65"/>
      <c r="N75" s="65"/>
      <c r="O75" s="39"/>
    </row>
    <row r="76" spans="1:15" x14ac:dyDescent="0.25">
      <c r="A76" s="39"/>
      <c r="B76" s="39"/>
      <c r="C76" s="39"/>
      <c r="D76" s="95" t="s">
        <v>695</v>
      </c>
      <c r="E76" s="39"/>
      <c r="F76" s="39"/>
      <c r="G76" s="39"/>
      <c r="H76" s="65"/>
      <c r="I76" s="65"/>
      <c r="J76" s="65"/>
      <c r="K76" s="65"/>
      <c r="L76" s="65"/>
      <c r="M76" s="65"/>
      <c r="N76" s="65"/>
      <c r="O76" s="39"/>
    </row>
    <row r="77" spans="1:15" x14ac:dyDescent="0.25">
      <c r="A77" s="39"/>
      <c r="B77" s="39"/>
      <c r="C77" s="39"/>
      <c r="D77" s="95" t="s">
        <v>689</v>
      </c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39"/>
    </row>
    <row r="78" spans="1:15" x14ac:dyDescent="0.25">
      <c r="A78" s="39"/>
      <c r="B78" s="39"/>
      <c r="C78" s="39"/>
      <c r="D78" s="95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101"/>
      <c r="B79" s="39"/>
      <c r="C79" s="39"/>
      <c r="D79" s="95"/>
      <c r="E79" s="98" t="s">
        <v>46</v>
      </c>
      <c r="F79" s="39"/>
      <c r="G79" s="39"/>
      <c r="H79" s="65"/>
      <c r="I79" s="112" t="s">
        <v>314</v>
      </c>
      <c r="J79" s="65"/>
      <c r="K79" s="65"/>
      <c r="L79" s="65"/>
      <c r="M79" s="65"/>
      <c r="N79" s="65"/>
      <c r="O79" s="101" t="s">
        <v>569</v>
      </c>
    </row>
    <row r="80" spans="1:15" x14ac:dyDescent="0.25">
      <c r="A80" s="39"/>
      <c r="B80" s="39"/>
      <c r="C80" s="39"/>
      <c r="D80" s="39"/>
      <c r="E80" s="95"/>
      <c r="F80" s="99" t="s">
        <v>47</v>
      </c>
      <c r="G80" s="99" t="s">
        <v>48</v>
      </c>
      <c r="H80" s="34">
        <v>5998</v>
      </c>
      <c r="I80" s="110"/>
      <c r="J80" s="110"/>
      <c r="K80" s="110"/>
      <c r="L80" s="110"/>
      <c r="M80" s="110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49</v>
      </c>
      <c r="G81" s="101" t="s">
        <v>48</v>
      </c>
      <c r="H81" s="35">
        <v>236300</v>
      </c>
      <c r="I81" s="110"/>
      <c r="J81" s="110"/>
      <c r="K81" s="110"/>
      <c r="L81" s="110"/>
      <c r="M81" s="110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50</v>
      </c>
      <c r="G82" s="101" t="s">
        <v>48</v>
      </c>
      <c r="H82" s="35">
        <v>194497</v>
      </c>
      <c r="I82" s="110"/>
      <c r="J82" s="110"/>
      <c r="K82" s="110"/>
      <c r="L82" s="110"/>
      <c r="M82" s="110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51</v>
      </c>
      <c r="G83" s="101" t="s">
        <v>48</v>
      </c>
      <c r="H83" s="35">
        <v>3903</v>
      </c>
      <c r="I83" s="110"/>
      <c r="J83" s="110"/>
      <c r="K83" s="110"/>
      <c r="L83" s="110"/>
      <c r="M83" s="110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52</v>
      </c>
      <c r="G84" s="101" t="s">
        <v>48</v>
      </c>
      <c r="H84" s="35">
        <v>5782.6999999999989</v>
      </c>
      <c r="I84" s="110"/>
      <c r="J84" s="110"/>
      <c r="K84" s="110"/>
      <c r="L84" s="110"/>
      <c r="M84" s="110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53</v>
      </c>
      <c r="G85" s="101" t="s">
        <v>48</v>
      </c>
      <c r="H85" s="35">
        <v>16215.5</v>
      </c>
      <c r="I85" s="110"/>
      <c r="J85" s="110"/>
      <c r="K85" s="110"/>
      <c r="L85" s="110"/>
      <c r="M85" s="110"/>
      <c r="N85" s="65"/>
      <c r="O85" s="39"/>
    </row>
    <row r="86" spans="1:15" x14ac:dyDescent="0.25">
      <c r="A86" s="39"/>
      <c r="B86" s="39"/>
      <c r="C86" s="39"/>
      <c r="D86" s="39"/>
      <c r="E86" s="39"/>
      <c r="F86" s="101" t="s">
        <v>54</v>
      </c>
      <c r="G86" s="101" t="s">
        <v>48</v>
      </c>
      <c r="H86" s="35">
        <v>2225996</v>
      </c>
      <c r="I86" s="110"/>
      <c r="J86" s="110"/>
      <c r="K86" s="110"/>
      <c r="L86" s="110"/>
      <c r="M86" s="110"/>
      <c r="N86" s="65"/>
      <c r="O86" s="39"/>
    </row>
    <row r="87" spans="1:15" x14ac:dyDescent="0.25">
      <c r="A87" s="39"/>
      <c r="B87" s="39"/>
      <c r="C87" s="39"/>
      <c r="D87" s="39"/>
      <c r="E87" s="39"/>
      <c r="F87" s="101" t="s">
        <v>55</v>
      </c>
      <c r="G87" s="101" t="s">
        <v>48</v>
      </c>
      <c r="H87" s="35">
        <v>5238</v>
      </c>
      <c r="I87" s="110"/>
      <c r="J87" s="110"/>
      <c r="K87" s="110"/>
      <c r="L87" s="110"/>
      <c r="M87" s="110"/>
      <c r="N87" s="65"/>
      <c r="O87" s="39"/>
    </row>
    <row r="88" spans="1:15" x14ac:dyDescent="0.25">
      <c r="A88" s="39"/>
      <c r="B88" s="39"/>
      <c r="C88" s="39"/>
      <c r="D88" s="39"/>
      <c r="E88" s="39"/>
      <c r="F88" s="101" t="s">
        <v>56</v>
      </c>
      <c r="G88" s="101" t="s">
        <v>48</v>
      </c>
      <c r="H88" s="35">
        <v>10420</v>
      </c>
      <c r="I88" s="110"/>
      <c r="J88" s="110"/>
      <c r="K88" s="110"/>
      <c r="L88" s="110"/>
      <c r="M88" s="110"/>
      <c r="N88" s="65"/>
      <c r="O88" s="39"/>
    </row>
    <row r="89" spans="1:15" x14ac:dyDescent="0.25">
      <c r="A89" s="39"/>
      <c r="B89" s="39"/>
      <c r="C89" s="39"/>
      <c r="D89" s="39"/>
      <c r="E89" s="39"/>
      <c r="F89" s="101" t="s">
        <v>57</v>
      </c>
      <c r="G89" s="101" t="s">
        <v>48</v>
      </c>
      <c r="H89" s="35">
        <v>0</v>
      </c>
      <c r="I89" s="110"/>
      <c r="J89" s="110"/>
      <c r="K89" s="110"/>
      <c r="L89" s="110"/>
      <c r="M89" s="110"/>
      <c r="N89" s="65"/>
      <c r="O89" s="39"/>
    </row>
    <row r="90" spans="1:15" x14ac:dyDescent="0.25">
      <c r="A90" s="39"/>
      <c r="B90" s="39"/>
      <c r="C90" s="39"/>
      <c r="D90" s="39"/>
      <c r="E90" s="39"/>
      <c r="F90" s="101" t="s">
        <v>58</v>
      </c>
      <c r="G90" s="101" t="s">
        <v>48</v>
      </c>
      <c r="H90" s="35">
        <v>21398.2</v>
      </c>
      <c r="I90" s="110"/>
      <c r="J90" s="110"/>
      <c r="K90" s="110"/>
      <c r="L90" s="110"/>
      <c r="M90" s="110"/>
      <c r="N90" s="65"/>
      <c r="O90" s="39"/>
    </row>
    <row r="91" spans="1:15" x14ac:dyDescent="0.25">
      <c r="A91" s="39"/>
      <c r="B91" s="39"/>
      <c r="C91" s="39"/>
      <c r="D91" s="39"/>
      <c r="E91" s="39"/>
      <c r="F91" s="101" t="s">
        <v>59</v>
      </c>
      <c r="G91" s="101" t="s">
        <v>48</v>
      </c>
      <c r="H91" s="35">
        <v>34104</v>
      </c>
      <c r="I91" s="110"/>
      <c r="J91" s="110"/>
      <c r="K91" s="110"/>
      <c r="L91" s="110"/>
      <c r="M91" s="110"/>
      <c r="N91" s="65"/>
      <c r="O91" s="39"/>
    </row>
    <row r="92" spans="1:15" x14ac:dyDescent="0.25">
      <c r="A92" s="39"/>
      <c r="B92" s="39"/>
      <c r="C92" s="39"/>
      <c r="D92" s="39"/>
      <c r="E92" s="39"/>
      <c r="F92" s="101" t="s">
        <v>60</v>
      </c>
      <c r="G92" s="101" t="s">
        <v>48</v>
      </c>
      <c r="H92" s="35">
        <v>0</v>
      </c>
      <c r="I92" s="110"/>
      <c r="J92" s="110"/>
      <c r="K92" s="110"/>
      <c r="L92" s="110"/>
      <c r="M92" s="110"/>
      <c r="N92" s="65"/>
      <c r="O92" s="39"/>
    </row>
    <row r="93" spans="1:15" x14ac:dyDescent="0.25">
      <c r="A93" s="39"/>
      <c r="B93" s="39"/>
      <c r="C93" s="39"/>
      <c r="D93" s="39"/>
      <c r="E93" s="39"/>
      <c r="F93" s="101" t="s">
        <v>61</v>
      </c>
      <c r="G93" s="101" t="s">
        <v>48</v>
      </c>
      <c r="H93" s="35">
        <v>14429.7</v>
      </c>
      <c r="I93" s="110"/>
      <c r="J93" s="110"/>
      <c r="K93" s="110"/>
      <c r="L93" s="110"/>
      <c r="M93" s="110"/>
      <c r="N93" s="65"/>
      <c r="O93" s="39"/>
    </row>
    <row r="94" spans="1:15" x14ac:dyDescent="0.25">
      <c r="A94" s="39"/>
      <c r="B94" s="39"/>
      <c r="C94" s="39"/>
      <c r="D94" s="39"/>
      <c r="E94" s="39"/>
      <c r="F94" s="101" t="s">
        <v>62</v>
      </c>
      <c r="G94" s="101" t="s">
        <v>48</v>
      </c>
      <c r="H94" s="35">
        <v>0</v>
      </c>
      <c r="I94" s="110"/>
      <c r="J94" s="110"/>
      <c r="K94" s="110"/>
      <c r="L94" s="110"/>
      <c r="M94" s="110"/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428</v>
      </c>
      <c r="G95" s="101" t="s">
        <v>48</v>
      </c>
      <c r="H95" s="35">
        <v>0</v>
      </c>
      <c r="I95" s="110"/>
      <c r="J95" s="110"/>
      <c r="K95" s="110"/>
      <c r="L95" s="110"/>
      <c r="M95" s="110"/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63</v>
      </c>
      <c r="G96" s="101" t="s">
        <v>48</v>
      </c>
      <c r="H96" s="35">
        <v>0</v>
      </c>
      <c r="I96" s="110"/>
      <c r="J96" s="110"/>
      <c r="K96" s="110"/>
      <c r="L96" s="110"/>
      <c r="M96" s="110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64</v>
      </c>
      <c r="G97" s="101" t="s">
        <v>48</v>
      </c>
      <c r="H97" s="35">
        <v>207731</v>
      </c>
      <c r="I97" s="110"/>
      <c r="J97" s="110"/>
      <c r="K97" s="110"/>
      <c r="L97" s="110"/>
      <c r="M97" s="110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65</v>
      </c>
      <c r="G98" s="101" t="s">
        <v>48</v>
      </c>
      <c r="H98" s="35">
        <v>0</v>
      </c>
      <c r="I98" s="110"/>
      <c r="J98" s="110"/>
      <c r="K98" s="110"/>
      <c r="L98" s="110"/>
      <c r="M98" s="110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66</v>
      </c>
      <c r="G99" s="101" t="s">
        <v>48</v>
      </c>
      <c r="H99" s="35">
        <v>12294.099999999999</v>
      </c>
      <c r="I99" s="110"/>
      <c r="J99" s="110"/>
      <c r="K99" s="110"/>
      <c r="L99" s="110"/>
      <c r="M99" s="110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67</v>
      </c>
      <c r="G100" s="101" t="s">
        <v>48</v>
      </c>
      <c r="H100" s="35">
        <v>0</v>
      </c>
      <c r="I100" s="110"/>
      <c r="J100" s="110"/>
      <c r="K100" s="110"/>
      <c r="L100" s="110"/>
      <c r="M100" s="110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68</v>
      </c>
      <c r="G101" s="101" t="s">
        <v>48</v>
      </c>
      <c r="H101" s="35">
        <v>0</v>
      </c>
      <c r="I101" s="110"/>
      <c r="J101" s="110"/>
      <c r="K101" s="110"/>
      <c r="L101" s="110"/>
      <c r="M101" s="110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69</v>
      </c>
      <c r="G102" s="101" t="s">
        <v>48</v>
      </c>
      <c r="H102" s="35">
        <v>1779</v>
      </c>
      <c r="I102" s="110"/>
      <c r="J102" s="110"/>
      <c r="K102" s="110"/>
      <c r="L102" s="110"/>
      <c r="M102" s="110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70</v>
      </c>
      <c r="G103" s="101" t="s">
        <v>48</v>
      </c>
      <c r="H103" s="35">
        <v>9875</v>
      </c>
      <c r="I103" s="110"/>
      <c r="J103" s="110"/>
      <c r="K103" s="110"/>
      <c r="L103" s="110"/>
      <c r="M103" s="110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71</v>
      </c>
      <c r="G104" s="101" t="s">
        <v>48</v>
      </c>
      <c r="H104" s="35">
        <v>935</v>
      </c>
      <c r="I104" s="110"/>
      <c r="J104" s="110"/>
      <c r="K104" s="110"/>
      <c r="L104" s="110"/>
      <c r="M104" s="110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72</v>
      </c>
      <c r="G105" s="101" t="s">
        <v>48</v>
      </c>
      <c r="H105" s="35">
        <v>8754</v>
      </c>
      <c r="I105" s="110"/>
      <c r="J105" s="110"/>
      <c r="K105" s="110"/>
      <c r="L105" s="110"/>
      <c r="M105" s="110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73</v>
      </c>
      <c r="G106" s="101" t="s">
        <v>48</v>
      </c>
      <c r="H106" s="35">
        <v>13991</v>
      </c>
      <c r="I106" s="110"/>
      <c r="J106" s="110"/>
      <c r="K106" s="110"/>
      <c r="L106" s="110"/>
      <c r="M106" s="110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74</v>
      </c>
      <c r="G107" s="101" t="s">
        <v>48</v>
      </c>
      <c r="H107" s="35">
        <v>11321</v>
      </c>
      <c r="I107" s="110"/>
      <c r="J107" s="110"/>
      <c r="K107" s="110"/>
      <c r="L107" s="110"/>
      <c r="M107" s="110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75</v>
      </c>
      <c r="G108" s="101" t="s">
        <v>48</v>
      </c>
      <c r="H108" s="35">
        <v>0</v>
      </c>
      <c r="I108" s="110"/>
      <c r="J108" s="110"/>
      <c r="K108" s="110"/>
      <c r="L108" s="110"/>
      <c r="M108" s="110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76</v>
      </c>
      <c r="G109" s="101" t="s">
        <v>48</v>
      </c>
      <c r="H109" s="35">
        <v>0</v>
      </c>
      <c r="I109" s="110"/>
      <c r="J109" s="110"/>
      <c r="K109" s="110"/>
      <c r="L109" s="110"/>
      <c r="M109" s="110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77</v>
      </c>
      <c r="G110" s="101" t="s">
        <v>48</v>
      </c>
      <c r="H110" s="35">
        <v>0</v>
      </c>
      <c r="I110" s="110"/>
      <c r="J110" s="110"/>
      <c r="K110" s="110"/>
      <c r="L110" s="110"/>
      <c r="M110" s="110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78</v>
      </c>
      <c r="G111" s="101" t="s">
        <v>48</v>
      </c>
      <c r="H111" s="35">
        <v>0</v>
      </c>
      <c r="I111" s="110"/>
      <c r="J111" s="110"/>
      <c r="K111" s="110"/>
      <c r="L111" s="110"/>
      <c r="M111" s="110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79</v>
      </c>
      <c r="G112" s="101" t="s">
        <v>48</v>
      </c>
      <c r="H112" s="35">
        <v>0</v>
      </c>
      <c r="I112" s="110"/>
      <c r="J112" s="110"/>
      <c r="K112" s="110"/>
      <c r="L112" s="110"/>
      <c r="M112" s="110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80</v>
      </c>
      <c r="G113" s="101" t="s">
        <v>48</v>
      </c>
      <c r="H113" s="35">
        <v>0</v>
      </c>
      <c r="I113" s="110"/>
      <c r="J113" s="110"/>
      <c r="K113" s="110"/>
      <c r="L113" s="110"/>
      <c r="M113" s="110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81</v>
      </c>
      <c r="G114" s="101" t="s">
        <v>48</v>
      </c>
      <c r="H114" s="35">
        <v>0</v>
      </c>
      <c r="I114" s="110"/>
      <c r="J114" s="110"/>
      <c r="K114" s="110"/>
      <c r="L114" s="110"/>
      <c r="M114" s="110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82</v>
      </c>
      <c r="G115" s="101" t="s">
        <v>48</v>
      </c>
      <c r="H115" s="35">
        <v>0</v>
      </c>
      <c r="I115" s="110"/>
      <c r="J115" s="110"/>
      <c r="K115" s="110"/>
      <c r="L115" s="110"/>
      <c r="M115" s="110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83</v>
      </c>
      <c r="G116" s="101" t="s">
        <v>48</v>
      </c>
      <c r="H116" s="35">
        <v>34852</v>
      </c>
      <c r="I116" s="110"/>
      <c r="J116" s="110"/>
      <c r="K116" s="110"/>
      <c r="L116" s="110"/>
      <c r="M116" s="110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84</v>
      </c>
      <c r="G117" s="101" t="s">
        <v>48</v>
      </c>
      <c r="H117" s="35">
        <v>15750</v>
      </c>
      <c r="I117" s="110"/>
      <c r="J117" s="110"/>
      <c r="K117" s="110"/>
      <c r="L117" s="110"/>
      <c r="M117" s="110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85</v>
      </c>
      <c r="G118" s="101" t="s">
        <v>48</v>
      </c>
      <c r="H118" s="35">
        <v>0</v>
      </c>
      <c r="I118" s="110"/>
      <c r="J118" s="110"/>
      <c r="K118" s="110"/>
      <c r="L118" s="110"/>
      <c r="M118" s="110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86</v>
      </c>
      <c r="G119" s="101" t="s">
        <v>48</v>
      </c>
      <c r="H119" s="35">
        <v>0</v>
      </c>
      <c r="I119" s="110"/>
      <c r="J119" s="110"/>
      <c r="K119" s="110"/>
      <c r="L119" s="110"/>
      <c r="M119" s="110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87</v>
      </c>
      <c r="G120" s="101" t="s">
        <v>48</v>
      </c>
      <c r="H120" s="35">
        <v>1029.0000000000002</v>
      </c>
      <c r="I120" s="110"/>
      <c r="J120" s="110"/>
      <c r="K120" s="110"/>
      <c r="L120" s="110"/>
      <c r="M120" s="110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88</v>
      </c>
      <c r="G121" s="101" t="s">
        <v>48</v>
      </c>
      <c r="H121" s="35">
        <v>0</v>
      </c>
      <c r="I121" s="110"/>
      <c r="J121" s="110"/>
      <c r="K121" s="110"/>
      <c r="L121" s="110"/>
      <c r="M121" s="110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89</v>
      </c>
      <c r="G122" s="101" t="s">
        <v>48</v>
      </c>
      <c r="H122" s="35">
        <v>793</v>
      </c>
      <c r="I122" s="110"/>
      <c r="J122" s="110"/>
      <c r="K122" s="110"/>
      <c r="L122" s="110"/>
      <c r="M122" s="110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90</v>
      </c>
      <c r="G123" s="101" t="s">
        <v>48</v>
      </c>
      <c r="H123" s="35">
        <v>0</v>
      </c>
      <c r="I123" s="110"/>
      <c r="J123" s="110"/>
      <c r="K123" s="110"/>
      <c r="L123" s="110"/>
      <c r="M123" s="110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91</v>
      </c>
      <c r="G124" s="101" t="s">
        <v>48</v>
      </c>
      <c r="H124" s="35">
        <v>7311.4</v>
      </c>
      <c r="I124" s="110"/>
      <c r="J124" s="110"/>
      <c r="K124" s="110"/>
      <c r="L124" s="110"/>
      <c r="M124" s="110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92</v>
      </c>
      <c r="G125" s="101" t="s">
        <v>48</v>
      </c>
      <c r="H125" s="35">
        <v>725</v>
      </c>
      <c r="I125" s="110"/>
      <c r="J125" s="110"/>
      <c r="K125" s="110"/>
      <c r="L125" s="110"/>
      <c r="M125" s="110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93</v>
      </c>
      <c r="G126" s="101" t="s">
        <v>48</v>
      </c>
      <c r="H126" s="35">
        <v>8891</v>
      </c>
      <c r="I126" s="110"/>
      <c r="J126" s="110"/>
      <c r="K126" s="110"/>
      <c r="L126" s="110"/>
      <c r="M126" s="110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94</v>
      </c>
      <c r="G127" s="101" t="s">
        <v>48</v>
      </c>
      <c r="H127" s="35">
        <v>669</v>
      </c>
      <c r="I127" s="110"/>
      <c r="J127" s="110"/>
      <c r="K127" s="110"/>
      <c r="L127" s="110"/>
      <c r="M127" s="110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95</v>
      </c>
      <c r="G128" s="101" t="s">
        <v>48</v>
      </c>
      <c r="H128" s="35">
        <v>221.5</v>
      </c>
      <c r="I128" s="110"/>
      <c r="J128" s="110"/>
      <c r="K128" s="110"/>
      <c r="L128" s="110"/>
      <c r="M128" s="110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96</v>
      </c>
      <c r="G129" s="101" t="s">
        <v>48</v>
      </c>
      <c r="H129" s="35">
        <v>122</v>
      </c>
      <c r="I129" s="110"/>
      <c r="J129" s="110"/>
      <c r="K129" s="110"/>
      <c r="L129" s="110"/>
      <c r="M129" s="110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1" t="s">
        <v>97</v>
      </c>
      <c r="G130" s="101" t="s">
        <v>48</v>
      </c>
      <c r="H130" s="35">
        <v>9</v>
      </c>
      <c r="I130" s="110"/>
      <c r="J130" s="110"/>
      <c r="K130" s="110"/>
      <c r="L130" s="110"/>
      <c r="M130" s="110"/>
      <c r="N130" s="65"/>
      <c r="O130" s="39"/>
    </row>
    <row r="131" spans="1:15" x14ac:dyDescent="0.25">
      <c r="A131" s="39"/>
      <c r="B131" s="39"/>
      <c r="C131" s="39"/>
      <c r="D131" s="39"/>
      <c r="E131" s="39"/>
      <c r="F131" s="101" t="s">
        <v>98</v>
      </c>
      <c r="G131" s="101" t="s">
        <v>48</v>
      </c>
      <c r="H131" s="35">
        <v>8</v>
      </c>
      <c r="I131" s="110"/>
      <c r="J131" s="110"/>
      <c r="K131" s="110"/>
      <c r="L131" s="110"/>
      <c r="M131" s="110"/>
      <c r="N131" s="65"/>
      <c r="O131" s="39"/>
    </row>
    <row r="132" spans="1:15" x14ac:dyDescent="0.25">
      <c r="A132" s="39"/>
      <c r="B132" s="39"/>
      <c r="C132" s="39"/>
      <c r="D132" s="39"/>
      <c r="E132" s="39"/>
      <c r="F132" s="101" t="s">
        <v>99</v>
      </c>
      <c r="G132" s="101" t="s">
        <v>48</v>
      </c>
      <c r="H132" s="35">
        <v>8</v>
      </c>
      <c r="I132" s="110"/>
      <c r="J132" s="110"/>
      <c r="K132" s="110"/>
      <c r="L132" s="110"/>
      <c r="M132" s="110"/>
      <c r="N132" s="65"/>
      <c r="O132" s="39"/>
    </row>
    <row r="133" spans="1:15" x14ac:dyDescent="0.25">
      <c r="A133" s="39"/>
      <c r="B133" s="39"/>
      <c r="C133" s="39"/>
      <c r="D133" s="39"/>
      <c r="E133" s="39"/>
      <c r="F133" s="101" t="s">
        <v>100</v>
      </c>
      <c r="G133" s="101" t="s">
        <v>48</v>
      </c>
      <c r="H133" s="35">
        <v>0</v>
      </c>
      <c r="I133" s="110"/>
      <c r="J133" s="110"/>
      <c r="K133" s="110"/>
      <c r="L133" s="110"/>
      <c r="M133" s="110"/>
      <c r="N133" s="65"/>
      <c r="O133" s="39"/>
    </row>
    <row r="134" spans="1:15" x14ac:dyDescent="0.25">
      <c r="A134" s="39"/>
      <c r="B134" s="39"/>
      <c r="C134" s="39"/>
      <c r="D134" s="39"/>
      <c r="E134" s="39"/>
      <c r="F134" s="101" t="s">
        <v>101</v>
      </c>
      <c r="G134" s="101" t="s">
        <v>48</v>
      </c>
      <c r="H134" s="35">
        <v>0</v>
      </c>
      <c r="I134" s="110"/>
      <c r="J134" s="110"/>
      <c r="K134" s="110"/>
      <c r="L134" s="110"/>
      <c r="M134" s="110"/>
      <c r="N134" s="65"/>
      <c r="O134" s="39"/>
    </row>
    <row r="135" spans="1:15" x14ac:dyDescent="0.25">
      <c r="A135" s="39"/>
      <c r="B135" s="39"/>
      <c r="C135" s="39"/>
      <c r="D135" s="39"/>
      <c r="E135" s="39"/>
      <c r="F135" s="101" t="s">
        <v>102</v>
      </c>
      <c r="G135" s="101" t="s">
        <v>48</v>
      </c>
      <c r="H135" s="35">
        <v>88</v>
      </c>
      <c r="I135" s="110"/>
      <c r="J135" s="110"/>
      <c r="K135" s="110"/>
      <c r="L135" s="110"/>
      <c r="M135" s="110"/>
      <c r="N135" s="65"/>
      <c r="O135" s="39"/>
    </row>
    <row r="136" spans="1:15" x14ac:dyDescent="0.25">
      <c r="A136" s="39"/>
      <c r="B136" s="39"/>
      <c r="C136" s="39"/>
      <c r="D136" s="39"/>
      <c r="E136" s="39"/>
      <c r="F136" s="101" t="s">
        <v>103</v>
      </c>
      <c r="G136" s="101" t="s">
        <v>48</v>
      </c>
      <c r="H136" s="35">
        <v>305</v>
      </c>
      <c r="I136" s="110"/>
      <c r="J136" s="110"/>
      <c r="K136" s="110"/>
      <c r="L136" s="110"/>
      <c r="M136" s="110"/>
      <c r="N136" s="65"/>
      <c r="O136" s="39"/>
    </row>
    <row r="137" spans="1:15" x14ac:dyDescent="0.25">
      <c r="A137" s="39"/>
      <c r="B137" s="39"/>
      <c r="C137" s="39"/>
      <c r="D137" s="39"/>
      <c r="E137" s="39"/>
      <c r="F137" s="101" t="s">
        <v>104</v>
      </c>
      <c r="G137" s="101" t="s">
        <v>48</v>
      </c>
      <c r="H137" s="35">
        <v>0</v>
      </c>
      <c r="I137" s="110"/>
      <c r="J137" s="110"/>
      <c r="K137" s="110"/>
      <c r="L137" s="110"/>
      <c r="M137" s="110"/>
      <c r="N137" s="65"/>
      <c r="O137" s="39"/>
    </row>
    <row r="138" spans="1:15" x14ac:dyDescent="0.25">
      <c r="A138" s="39"/>
      <c r="B138" s="39"/>
      <c r="C138" s="39"/>
      <c r="D138" s="39"/>
      <c r="E138" s="39"/>
      <c r="F138" s="101" t="s">
        <v>105</v>
      </c>
      <c r="G138" s="101" t="s">
        <v>48</v>
      </c>
      <c r="H138" s="35">
        <v>0</v>
      </c>
      <c r="I138" s="110"/>
      <c r="J138" s="110"/>
      <c r="K138" s="110"/>
      <c r="L138" s="110"/>
      <c r="M138" s="110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1" t="s">
        <v>106</v>
      </c>
      <c r="G139" s="101" t="s">
        <v>48</v>
      </c>
      <c r="H139" s="35">
        <v>0</v>
      </c>
      <c r="I139" s="110"/>
      <c r="J139" s="110"/>
      <c r="K139" s="110"/>
      <c r="L139" s="110"/>
      <c r="M139" s="110"/>
      <c r="N139" s="65"/>
      <c r="O139" s="39"/>
    </row>
    <row r="140" spans="1:15" x14ac:dyDescent="0.25">
      <c r="A140" s="39"/>
      <c r="B140" s="39"/>
      <c r="C140" s="39"/>
      <c r="D140" s="39"/>
      <c r="E140" s="39"/>
      <c r="F140" s="101" t="s">
        <v>107</v>
      </c>
      <c r="G140" s="101" t="s">
        <v>48</v>
      </c>
      <c r="H140" s="35">
        <v>1444</v>
      </c>
      <c r="I140" s="110"/>
      <c r="J140" s="110"/>
      <c r="K140" s="110"/>
      <c r="L140" s="110"/>
      <c r="M140" s="110"/>
      <c r="N140" s="65"/>
      <c r="O140" s="39"/>
    </row>
    <row r="141" spans="1:15" x14ac:dyDescent="0.25">
      <c r="A141" s="39"/>
      <c r="B141" s="39"/>
      <c r="C141" s="39"/>
      <c r="D141" s="39"/>
      <c r="E141" s="39"/>
      <c r="F141" s="101" t="s">
        <v>108</v>
      </c>
      <c r="G141" s="101" t="s">
        <v>48</v>
      </c>
      <c r="H141" s="35">
        <v>77</v>
      </c>
      <c r="I141" s="110"/>
      <c r="J141" s="110"/>
      <c r="K141" s="110"/>
      <c r="L141" s="110"/>
      <c r="M141" s="110"/>
      <c r="N141" s="65"/>
      <c r="O141" s="39"/>
    </row>
    <row r="142" spans="1:15" x14ac:dyDescent="0.25">
      <c r="A142" s="39"/>
      <c r="B142" s="39"/>
      <c r="C142" s="39"/>
      <c r="D142" s="39"/>
      <c r="E142" s="39"/>
      <c r="F142" s="101" t="s">
        <v>109</v>
      </c>
      <c r="G142" s="101" t="s">
        <v>48</v>
      </c>
      <c r="H142" s="35">
        <v>575</v>
      </c>
      <c r="I142" s="110"/>
      <c r="J142" s="110"/>
      <c r="K142" s="110"/>
      <c r="L142" s="110"/>
      <c r="M142" s="110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110</v>
      </c>
      <c r="G143" s="101" t="s">
        <v>48</v>
      </c>
      <c r="H143" s="35">
        <v>3</v>
      </c>
      <c r="I143" s="110"/>
      <c r="J143" s="110"/>
      <c r="K143" s="110"/>
      <c r="L143" s="110"/>
      <c r="M143" s="110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111</v>
      </c>
      <c r="G144" s="101" t="s">
        <v>48</v>
      </c>
      <c r="H144" s="35">
        <v>203</v>
      </c>
      <c r="I144" s="110"/>
      <c r="J144" s="110"/>
      <c r="K144" s="110"/>
      <c r="L144" s="110"/>
      <c r="M144" s="110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112</v>
      </c>
      <c r="G145" s="101" t="s">
        <v>48</v>
      </c>
      <c r="H145" s="35">
        <v>193</v>
      </c>
      <c r="I145" s="110"/>
      <c r="J145" s="110"/>
      <c r="K145" s="110"/>
      <c r="L145" s="110"/>
      <c r="M145" s="110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113</v>
      </c>
      <c r="G146" s="101" t="s">
        <v>48</v>
      </c>
      <c r="H146" s="35">
        <v>82</v>
      </c>
      <c r="I146" s="110"/>
      <c r="J146" s="110"/>
      <c r="K146" s="110"/>
      <c r="L146" s="110"/>
      <c r="M146" s="110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114</v>
      </c>
      <c r="G147" s="101" t="s">
        <v>48</v>
      </c>
      <c r="H147" s="35">
        <v>46</v>
      </c>
      <c r="I147" s="110"/>
      <c r="J147" s="110"/>
      <c r="K147" s="110"/>
      <c r="L147" s="110"/>
      <c r="M147" s="110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115</v>
      </c>
      <c r="G148" s="101" t="s">
        <v>48</v>
      </c>
      <c r="H148" s="35">
        <v>0</v>
      </c>
      <c r="I148" s="110"/>
      <c r="J148" s="110"/>
      <c r="K148" s="110"/>
      <c r="L148" s="110"/>
      <c r="M148" s="110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116</v>
      </c>
      <c r="G149" s="101" t="s">
        <v>48</v>
      </c>
      <c r="H149" s="35">
        <v>1368</v>
      </c>
      <c r="I149" s="110"/>
      <c r="J149" s="110"/>
      <c r="K149" s="110"/>
      <c r="L149" s="110"/>
      <c r="M149" s="110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117</v>
      </c>
      <c r="G150" s="101" t="s">
        <v>48</v>
      </c>
      <c r="H150" s="35">
        <v>843</v>
      </c>
      <c r="I150" s="110"/>
      <c r="J150" s="110"/>
      <c r="K150" s="110"/>
      <c r="L150" s="110"/>
      <c r="M150" s="110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118</v>
      </c>
      <c r="G151" s="101" t="s">
        <v>48</v>
      </c>
      <c r="H151" s="35">
        <v>2776</v>
      </c>
      <c r="I151" s="110"/>
      <c r="J151" s="110"/>
      <c r="K151" s="110"/>
      <c r="L151" s="110"/>
      <c r="M151" s="110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119</v>
      </c>
      <c r="G152" s="101" t="s">
        <v>48</v>
      </c>
      <c r="H152" s="35">
        <v>4787</v>
      </c>
      <c r="I152" s="110"/>
      <c r="J152" s="110"/>
      <c r="K152" s="110"/>
      <c r="L152" s="110"/>
      <c r="M152" s="110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120</v>
      </c>
      <c r="G153" s="101" t="s">
        <v>48</v>
      </c>
      <c r="H153" s="35">
        <v>43</v>
      </c>
      <c r="I153" s="110"/>
      <c r="J153" s="110"/>
      <c r="K153" s="110"/>
      <c r="L153" s="110"/>
      <c r="M153" s="110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121</v>
      </c>
      <c r="G154" s="101" t="s">
        <v>48</v>
      </c>
      <c r="H154" s="35">
        <v>251</v>
      </c>
      <c r="I154" s="110"/>
      <c r="J154" s="110"/>
      <c r="K154" s="110"/>
      <c r="L154" s="110"/>
      <c r="M154" s="110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122</v>
      </c>
      <c r="G155" s="101" t="s">
        <v>48</v>
      </c>
      <c r="H155" s="35">
        <v>16</v>
      </c>
      <c r="I155" s="110"/>
      <c r="J155" s="110"/>
      <c r="K155" s="110"/>
      <c r="L155" s="110"/>
      <c r="M155" s="110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123</v>
      </c>
      <c r="G156" s="101" t="s">
        <v>48</v>
      </c>
      <c r="H156" s="35">
        <v>0</v>
      </c>
      <c r="I156" s="110"/>
      <c r="J156" s="110"/>
      <c r="K156" s="110"/>
      <c r="L156" s="110"/>
      <c r="M156" s="110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124</v>
      </c>
      <c r="G157" s="101" t="s">
        <v>48</v>
      </c>
      <c r="H157" s="35">
        <v>295</v>
      </c>
      <c r="I157" s="110"/>
      <c r="J157" s="110"/>
      <c r="K157" s="110"/>
      <c r="L157" s="110"/>
      <c r="M157" s="110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125</v>
      </c>
      <c r="G158" s="101" t="s">
        <v>48</v>
      </c>
      <c r="H158" s="35">
        <v>1704</v>
      </c>
      <c r="I158" s="110"/>
      <c r="J158" s="110"/>
      <c r="K158" s="110"/>
      <c r="L158" s="110"/>
      <c r="M158" s="110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126</v>
      </c>
      <c r="G159" s="101" t="s">
        <v>48</v>
      </c>
      <c r="H159" s="35">
        <v>249</v>
      </c>
      <c r="I159" s="110"/>
      <c r="J159" s="110"/>
      <c r="K159" s="110"/>
      <c r="L159" s="110"/>
      <c r="M159" s="110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127</v>
      </c>
      <c r="G160" s="101" t="s">
        <v>48</v>
      </c>
      <c r="H160" s="35">
        <v>356</v>
      </c>
      <c r="I160" s="110"/>
      <c r="J160" s="110"/>
      <c r="K160" s="110"/>
      <c r="L160" s="110"/>
      <c r="M160" s="110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128</v>
      </c>
      <c r="G161" s="101" t="s">
        <v>48</v>
      </c>
      <c r="H161" s="35">
        <v>2</v>
      </c>
      <c r="I161" s="110"/>
      <c r="J161" s="110"/>
      <c r="K161" s="110"/>
      <c r="L161" s="110"/>
      <c r="M161" s="110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129</v>
      </c>
      <c r="G162" s="101" t="s">
        <v>48</v>
      </c>
      <c r="H162" s="35">
        <v>262</v>
      </c>
      <c r="I162" s="110"/>
      <c r="J162" s="110"/>
      <c r="K162" s="110"/>
      <c r="L162" s="110"/>
      <c r="M162" s="110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130</v>
      </c>
      <c r="G163" s="101" t="s">
        <v>48</v>
      </c>
      <c r="H163" s="35">
        <v>1773</v>
      </c>
      <c r="I163" s="110"/>
      <c r="J163" s="110"/>
      <c r="K163" s="110"/>
      <c r="L163" s="110"/>
      <c r="M163" s="110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3" t="s">
        <v>131</v>
      </c>
      <c r="G164" s="103" t="s">
        <v>48</v>
      </c>
      <c r="H164" s="36">
        <v>1264</v>
      </c>
      <c r="I164" s="110"/>
      <c r="J164" s="110"/>
      <c r="K164" s="110"/>
      <c r="L164" s="110"/>
      <c r="M164" s="110"/>
      <c r="N164" s="65"/>
      <c r="O164" s="39"/>
    </row>
    <row r="165" spans="1:15" x14ac:dyDescent="0.25">
      <c r="A165" s="39"/>
      <c r="B165" s="39"/>
      <c r="C165" s="39"/>
      <c r="D165" s="39"/>
      <c r="E165" s="39"/>
      <c r="F165" s="39"/>
      <c r="G165" s="39"/>
      <c r="H165" s="65"/>
      <c r="I165" s="65"/>
      <c r="J165" s="65"/>
      <c r="K165" s="65"/>
      <c r="L165" s="65"/>
      <c r="M165" s="65"/>
      <c r="N165" s="65"/>
      <c r="O165" s="39"/>
    </row>
    <row r="166" spans="1:15" x14ac:dyDescent="0.25">
      <c r="A166" s="39"/>
      <c r="B166" s="39"/>
      <c r="C166" s="96" t="s">
        <v>761</v>
      </c>
      <c r="D166" s="96"/>
      <c r="E166" s="96"/>
      <c r="F166" s="96"/>
      <c r="G166" s="96"/>
      <c r="H166" s="97"/>
      <c r="I166" s="97"/>
      <c r="J166" s="97"/>
      <c r="K166" s="97"/>
      <c r="L166" s="97"/>
      <c r="M166" s="97"/>
      <c r="N166" s="97"/>
      <c r="O166" s="96"/>
    </row>
    <row r="167" spans="1:15" x14ac:dyDescent="0.25">
      <c r="A167" s="39"/>
      <c r="B167" s="39"/>
      <c r="C167" s="95"/>
      <c r="D167" s="95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39"/>
    </row>
    <row r="168" spans="1:15" x14ac:dyDescent="0.25">
      <c r="A168" s="39"/>
      <c r="B168" s="39"/>
      <c r="C168" s="39"/>
      <c r="D168" s="95" t="s">
        <v>694</v>
      </c>
      <c r="E168" s="39"/>
      <c r="F168" s="39"/>
      <c r="G168" s="39"/>
      <c r="H168" s="65"/>
      <c r="I168" s="65"/>
      <c r="J168" s="65"/>
      <c r="K168" s="65"/>
      <c r="L168" s="65"/>
      <c r="M168" s="65"/>
      <c r="N168" s="65"/>
      <c r="O168" s="39"/>
    </row>
    <row r="169" spans="1:15" x14ac:dyDescent="0.25">
      <c r="A169" s="39"/>
      <c r="B169" s="39"/>
      <c r="C169" s="39"/>
      <c r="D169" s="95"/>
      <c r="E169" s="39"/>
      <c r="F169" s="39"/>
      <c r="G169" s="39"/>
      <c r="H169" s="65"/>
      <c r="I169" s="65"/>
      <c r="J169" s="65"/>
      <c r="K169" s="65"/>
      <c r="L169" s="65"/>
      <c r="M169" s="65"/>
      <c r="N169" s="65"/>
      <c r="O169" s="39"/>
    </row>
    <row r="170" spans="1:15" x14ac:dyDescent="0.25">
      <c r="A170" s="101"/>
      <c r="B170" s="39"/>
      <c r="C170" s="39"/>
      <c r="D170" s="95"/>
      <c r="E170" s="98" t="s">
        <v>132</v>
      </c>
      <c r="F170" s="39"/>
      <c r="G170" s="39"/>
      <c r="H170" s="65"/>
      <c r="I170" s="112" t="s">
        <v>314</v>
      </c>
      <c r="J170" s="65"/>
      <c r="K170" s="65"/>
      <c r="L170" s="65"/>
      <c r="M170" s="65"/>
      <c r="N170" s="65"/>
      <c r="O170" s="101" t="s">
        <v>600</v>
      </c>
    </row>
    <row r="171" spans="1:15" x14ac:dyDescent="0.25">
      <c r="A171" s="39"/>
      <c r="B171" s="39"/>
      <c r="C171" s="39"/>
      <c r="D171" s="39"/>
      <c r="E171" s="95"/>
      <c r="F171" s="99" t="s">
        <v>47</v>
      </c>
      <c r="G171" s="99" t="s">
        <v>437</v>
      </c>
      <c r="H171" s="34">
        <v>41700.246577433041</v>
      </c>
      <c r="I171" s="110"/>
      <c r="J171" s="110"/>
      <c r="K171" s="110"/>
      <c r="L171" s="110"/>
      <c r="M171" s="110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49</v>
      </c>
      <c r="G172" s="101" t="s">
        <v>437</v>
      </c>
      <c r="H172" s="35">
        <v>508.53959240772008</v>
      </c>
      <c r="I172" s="110"/>
      <c r="J172" s="110"/>
      <c r="K172" s="110"/>
      <c r="L172" s="110"/>
      <c r="M172" s="110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50</v>
      </c>
      <c r="G173" s="101" t="s">
        <v>437</v>
      </c>
      <c r="H173" s="35">
        <v>0</v>
      </c>
      <c r="I173" s="110"/>
      <c r="J173" s="110"/>
      <c r="K173" s="110"/>
      <c r="L173" s="110"/>
      <c r="M173" s="110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51</v>
      </c>
      <c r="G174" s="101" t="s">
        <v>437</v>
      </c>
      <c r="H174" s="35">
        <v>127134.89810193003</v>
      </c>
      <c r="I174" s="110"/>
      <c r="J174" s="110"/>
      <c r="K174" s="110"/>
      <c r="L174" s="110"/>
      <c r="M174" s="110"/>
      <c r="N174" s="65"/>
      <c r="O174" s="39"/>
    </row>
    <row r="175" spans="1:15" x14ac:dyDescent="0.25">
      <c r="A175" s="39"/>
      <c r="B175" s="39"/>
      <c r="C175" s="39"/>
      <c r="D175" s="39"/>
      <c r="E175" s="39"/>
      <c r="F175" s="101" t="s">
        <v>52</v>
      </c>
      <c r="G175" s="101" t="s">
        <v>437</v>
      </c>
      <c r="H175" s="35">
        <v>127134.89810193003</v>
      </c>
      <c r="I175" s="110"/>
      <c r="J175" s="110"/>
      <c r="K175" s="110"/>
      <c r="L175" s="110"/>
      <c r="M175" s="110"/>
      <c r="N175" s="65"/>
      <c r="O175" s="39"/>
    </row>
    <row r="176" spans="1:15" x14ac:dyDescent="0.25">
      <c r="A176" s="39"/>
      <c r="B176" s="39"/>
      <c r="C176" s="39"/>
      <c r="D176" s="39"/>
      <c r="E176" s="39"/>
      <c r="F176" s="101" t="s">
        <v>53</v>
      </c>
      <c r="G176" s="101" t="s">
        <v>437</v>
      </c>
      <c r="H176" s="35">
        <v>127134.89810193003</v>
      </c>
      <c r="I176" s="110"/>
      <c r="J176" s="110"/>
      <c r="K176" s="110"/>
      <c r="L176" s="110"/>
      <c r="M176" s="110"/>
      <c r="N176" s="65"/>
      <c r="O176" s="39"/>
    </row>
    <row r="177" spans="1:15" x14ac:dyDescent="0.25">
      <c r="A177" s="39"/>
      <c r="B177" s="39"/>
      <c r="C177" s="39"/>
      <c r="D177" s="39"/>
      <c r="E177" s="39"/>
      <c r="F177" s="101" t="s">
        <v>54</v>
      </c>
      <c r="G177" s="101" t="s">
        <v>437</v>
      </c>
      <c r="H177" s="35">
        <v>1700.0732843986286</v>
      </c>
      <c r="I177" s="110"/>
      <c r="J177" s="110"/>
      <c r="K177" s="110"/>
      <c r="L177" s="110"/>
      <c r="M177" s="110"/>
      <c r="N177" s="65"/>
      <c r="O177" s="39"/>
    </row>
    <row r="178" spans="1:15" x14ac:dyDescent="0.25">
      <c r="A178" s="39"/>
      <c r="B178" s="39"/>
      <c r="C178" s="39"/>
      <c r="D178" s="39"/>
      <c r="E178" s="39"/>
      <c r="F178" s="101" t="s">
        <v>55</v>
      </c>
      <c r="G178" s="101" t="s">
        <v>437</v>
      </c>
      <c r="H178" s="35">
        <v>5721.0704145868513</v>
      </c>
      <c r="I178" s="110"/>
      <c r="J178" s="110"/>
      <c r="K178" s="110"/>
      <c r="L178" s="110"/>
      <c r="M178" s="110"/>
      <c r="N178" s="65"/>
      <c r="O178" s="39"/>
    </row>
    <row r="179" spans="1:15" x14ac:dyDescent="0.25">
      <c r="A179" s="39"/>
      <c r="B179" s="39"/>
      <c r="C179" s="39"/>
      <c r="D179" s="39"/>
      <c r="E179" s="39"/>
      <c r="F179" s="101" t="s">
        <v>56</v>
      </c>
      <c r="G179" s="101" t="s">
        <v>437</v>
      </c>
      <c r="H179" s="35">
        <v>5721.0704145868513</v>
      </c>
      <c r="I179" s="110"/>
      <c r="J179" s="110"/>
      <c r="K179" s="110"/>
      <c r="L179" s="110"/>
      <c r="M179" s="110"/>
      <c r="N179" s="65"/>
      <c r="O179" s="39"/>
    </row>
    <row r="180" spans="1:15" x14ac:dyDescent="0.25">
      <c r="A180" s="39"/>
      <c r="B180" s="39"/>
      <c r="C180" s="39"/>
      <c r="D180" s="39"/>
      <c r="E180" s="39"/>
      <c r="F180" s="101" t="s">
        <v>57</v>
      </c>
      <c r="G180" s="101" t="s">
        <v>437</v>
      </c>
      <c r="H180" s="35">
        <v>5721.0704145868513</v>
      </c>
      <c r="I180" s="110"/>
      <c r="J180" s="110"/>
      <c r="K180" s="110"/>
      <c r="L180" s="110"/>
      <c r="M180" s="110"/>
      <c r="N180" s="65"/>
      <c r="O180" s="39"/>
    </row>
    <row r="181" spans="1:15" x14ac:dyDescent="0.25">
      <c r="A181" s="39"/>
      <c r="B181" s="39"/>
      <c r="C181" s="39"/>
      <c r="D181" s="39"/>
      <c r="E181" s="39"/>
      <c r="F181" s="101" t="s">
        <v>58</v>
      </c>
      <c r="G181" s="101" t="s">
        <v>437</v>
      </c>
      <c r="H181" s="35">
        <v>4831.1261278733409</v>
      </c>
      <c r="I181" s="110"/>
      <c r="J181" s="110"/>
      <c r="K181" s="110"/>
      <c r="L181" s="110"/>
      <c r="M181" s="110"/>
      <c r="N181" s="65"/>
      <c r="O181" s="39"/>
    </row>
    <row r="182" spans="1:15" x14ac:dyDescent="0.25">
      <c r="A182" s="39"/>
      <c r="B182" s="39"/>
      <c r="C182" s="39"/>
      <c r="D182" s="39"/>
      <c r="E182" s="39"/>
      <c r="F182" s="101" t="s">
        <v>59</v>
      </c>
      <c r="G182" s="101" t="s">
        <v>437</v>
      </c>
      <c r="H182" s="35">
        <v>0</v>
      </c>
      <c r="I182" s="110"/>
      <c r="J182" s="110"/>
      <c r="K182" s="110"/>
      <c r="L182" s="110"/>
      <c r="M182" s="110"/>
      <c r="N182" s="65"/>
      <c r="O182" s="39"/>
    </row>
    <row r="183" spans="1:15" x14ac:dyDescent="0.25">
      <c r="A183" s="39"/>
      <c r="B183" s="39"/>
      <c r="C183" s="39"/>
      <c r="D183" s="39"/>
      <c r="E183" s="39"/>
      <c r="F183" s="101" t="s">
        <v>60</v>
      </c>
      <c r="G183" s="101" t="s">
        <v>437</v>
      </c>
      <c r="H183" s="35">
        <v>0</v>
      </c>
      <c r="I183" s="110"/>
      <c r="J183" s="110"/>
      <c r="K183" s="110"/>
      <c r="L183" s="110"/>
      <c r="M183" s="110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61</v>
      </c>
      <c r="G184" s="101" t="s">
        <v>437</v>
      </c>
      <c r="H184" s="35">
        <v>43098.730456554273</v>
      </c>
      <c r="I184" s="110"/>
      <c r="J184" s="110"/>
      <c r="K184" s="110"/>
      <c r="L184" s="110"/>
      <c r="M184" s="110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62</v>
      </c>
      <c r="G185" s="101" t="s">
        <v>437</v>
      </c>
      <c r="H185" s="35">
        <v>43098.730456554273</v>
      </c>
      <c r="I185" s="110"/>
      <c r="J185" s="110"/>
      <c r="K185" s="110"/>
      <c r="L185" s="110"/>
      <c r="M185" s="110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428</v>
      </c>
      <c r="G186" s="101" t="s">
        <v>437</v>
      </c>
      <c r="H186" s="35">
        <v>0</v>
      </c>
      <c r="I186" s="110"/>
      <c r="J186" s="110"/>
      <c r="K186" s="110"/>
      <c r="L186" s="110"/>
      <c r="M186" s="110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1" t="s">
        <v>63</v>
      </c>
      <c r="G187" s="101" t="s">
        <v>437</v>
      </c>
      <c r="H187" s="35">
        <v>0</v>
      </c>
      <c r="I187" s="110"/>
      <c r="J187" s="110"/>
      <c r="K187" s="110"/>
      <c r="L187" s="110"/>
      <c r="M187" s="110"/>
      <c r="N187" s="65"/>
      <c r="O187" s="39"/>
    </row>
    <row r="188" spans="1:15" x14ac:dyDescent="0.25">
      <c r="A188" s="39"/>
      <c r="B188" s="39"/>
      <c r="C188" s="39"/>
      <c r="D188" s="39"/>
      <c r="E188" s="39"/>
      <c r="F188" s="101" t="s">
        <v>64</v>
      </c>
      <c r="G188" s="101" t="s">
        <v>437</v>
      </c>
      <c r="H188" s="35">
        <v>0</v>
      </c>
      <c r="I188" s="110"/>
      <c r="J188" s="110"/>
      <c r="K188" s="110"/>
      <c r="L188" s="110"/>
      <c r="M188" s="110"/>
      <c r="N188" s="65"/>
      <c r="O188" s="39"/>
    </row>
    <row r="189" spans="1:15" x14ac:dyDescent="0.25">
      <c r="A189" s="39"/>
      <c r="B189" s="39"/>
      <c r="C189" s="39"/>
      <c r="D189" s="39"/>
      <c r="E189" s="39"/>
      <c r="F189" s="101" t="s">
        <v>65</v>
      </c>
      <c r="G189" s="101" t="s">
        <v>437</v>
      </c>
      <c r="H189" s="35">
        <v>0</v>
      </c>
      <c r="I189" s="110"/>
      <c r="J189" s="110"/>
      <c r="K189" s="110"/>
      <c r="L189" s="110"/>
      <c r="M189" s="110"/>
      <c r="N189" s="65"/>
      <c r="O189" s="39"/>
    </row>
    <row r="190" spans="1:15" x14ac:dyDescent="0.25">
      <c r="A190" s="39"/>
      <c r="B190" s="39"/>
      <c r="C190" s="39"/>
      <c r="D190" s="39"/>
      <c r="E190" s="39"/>
      <c r="F190" s="101" t="s">
        <v>66</v>
      </c>
      <c r="G190" s="101" t="s">
        <v>437</v>
      </c>
      <c r="H190" s="35">
        <v>84544.707237783456</v>
      </c>
      <c r="I190" s="110"/>
      <c r="J190" s="110"/>
      <c r="K190" s="110"/>
      <c r="L190" s="110"/>
      <c r="M190" s="110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67</v>
      </c>
      <c r="G191" s="101" t="s">
        <v>437</v>
      </c>
      <c r="H191" s="35">
        <v>0</v>
      </c>
      <c r="I191" s="110"/>
      <c r="J191" s="110"/>
      <c r="K191" s="110"/>
      <c r="L191" s="110"/>
      <c r="M191" s="110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68</v>
      </c>
      <c r="G192" s="101" t="s">
        <v>437</v>
      </c>
      <c r="H192" s="35">
        <v>0</v>
      </c>
      <c r="I192" s="110"/>
      <c r="J192" s="110"/>
      <c r="K192" s="110"/>
      <c r="L192" s="110"/>
      <c r="M192" s="110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69</v>
      </c>
      <c r="G193" s="101" t="s">
        <v>437</v>
      </c>
      <c r="H193" s="35">
        <v>13984.838791212302</v>
      </c>
      <c r="I193" s="110"/>
      <c r="J193" s="110"/>
      <c r="K193" s="110"/>
      <c r="L193" s="110"/>
      <c r="M193" s="110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70</v>
      </c>
      <c r="G194" s="101" t="s">
        <v>437</v>
      </c>
      <c r="H194" s="35">
        <v>30893.780238768992</v>
      </c>
      <c r="I194" s="110"/>
      <c r="J194" s="110"/>
      <c r="K194" s="110"/>
      <c r="L194" s="110"/>
      <c r="M194" s="110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71</v>
      </c>
      <c r="G195" s="101" t="s">
        <v>437</v>
      </c>
      <c r="H195" s="35">
        <v>1652.7536753250902</v>
      </c>
      <c r="I195" s="110"/>
      <c r="J195" s="110"/>
      <c r="K195" s="110"/>
      <c r="L195" s="110"/>
      <c r="M195" s="110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72</v>
      </c>
      <c r="G196" s="101" t="s">
        <v>437</v>
      </c>
      <c r="H196" s="35">
        <v>5212.5308221791302</v>
      </c>
      <c r="I196" s="110"/>
      <c r="J196" s="110"/>
      <c r="K196" s="110"/>
      <c r="L196" s="110"/>
      <c r="M196" s="110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73</v>
      </c>
      <c r="G197" s="101" t="s">
        <v>437</v>
      </c>
      <c r="H197" s="35">
        <v>16400.401855148972</v>
      </c>
      <c r="I197" s="110"/>
      <c r="J197" s="110"/>
      <c r="K197" s="110"/>
      <c r="L197" s="110"/>
      <c r="M197" s="110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74</v>
      </c>
      <c r="G198" s="101" t="s">
        <v>437</v>
      </c>
      <c r="H198" s="35">
        <v>1652.7536753250902</v>
      </c>
      <c r="I198" s="110"/>
      <c r="J198" s="110"/>
      <c r="K198" s="110"/>
      <c r="L198" s="110"/>
      <c r="M198" s="110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75</v>
      </c>
      <c r="G199" s="101" t="s">
        <v>437</v>
      </c>
      <c r="H199" s="35">
        <v>0</v>
      </c>
      <c r="I199" s="110"/>
      <c r="J199" s="110"/>
      <c r="K199" s="110"/>
      <c r="L199" s="110"/>
      <c r="M199" s="110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76</v>
      </c>
      <c r="G200" s="101" t="s">
        <v>437</v>
      </c>
      <c r="H200" s="35">
        <v>0</v>
      </c>
      <c r="I200" s="110"/>
      <c r="J200" s="110"/>
      <c r="K200" s="110"/>
      <c r="L200" s="110"/>
      <c r="M200" s="110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77</v>
      </c>
      <c r="G201" s="101" t="s">
        <v>437</v>
      </c>
      <c r="H201" s="35">
        <v>0</v>
      </c>
      <c r="I201" s="110"/>
      <c r="J201" s="110"/>
      <c r="K201" s="110"/>
      <c r="L201" s="110"/>
      <c r="M201" s="110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78</v>
      </c>
      <c r="G202" s="101" t="s">
        <v>437</v>
      </c>
      <c r="H202" s="35">
        <v>0</v>
      </c>
      <c r="I202" s="110"/>
      <c r="J202" s="110"/>
      <c r="K202" s="110"/>
      <c r="L202" s="110"/>
      <c r="M202" s="110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79</v>
      </c>
      <c r="G203" s="101" t="s">
        <v>437</v>
      </c>
      <c r="H203" s="35">
        <v>0</v>
      </c>
      <c r="I203" s="110"/>
      <c r="J203" s="110"/>
      <c r="K203" s="110"/>
      <c r="L203" s="110"/>
      <c r="M203" s="110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80</v>
      </c>
      <c r="G204" s="101" t="s">
        <v>437</v>
      </c>
      <c r="H204" s="35">
        <v>0</v>
      </c>
      <c r="I204" s="110"/>
      <c r="J204" s="110"/>
      <c r="K204" s="110"/>
      <c r="L204" s="110"/>
      <c r="M204" s="110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81</v>
      </c>
      <c r="G205" s="101" t="s">
        <v>437</v>
      </c>
      <c r="H205" s="35">
        <v>0</v>
      </c>
      <c r="I205" s="110"/>
      <c r="J205" s="110"/>
      <c r="K205" s="110"/>
      <c r="L205" s="110"/>
      <c r="M205" s="110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82</v>
      </c>
      <c r="G206" s="101" t="s">
        <v>437</v>
      </c>
      <c r="H206" s="35">
        <v>0</v>
      </c>
      <c r="I206" s="110"/>
      <c r="J206" s="110"/>
      <c r="K206" s="110"/>
      <c r="L206" s="110"/>
      <c r="M206" s="110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83</v>
      </c>
      <c r="G207" s="101" t="s">
        <v>437</v>
      </c>
      <c r="H207" s="35">
        <v>3686.91204495597</v>
      </c>
      <c r="I207" s="110"/>
      <c r="J207" s="110"/>
      <c r="K207" s="110"/>
      <c r="L207" s="110"/>
      <c r="M207" s="110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84</v>
      </c>
      <c r="G208" s="101" t="s">
        <v>437</v>
      </c>
      <c r="H208" s="35">
        <v>11950.680421581421</v>
      </c>
      <c r="I208" s="110"/>
      <c r="J208" s="110"/>
      <c r="K208" s="110"/>
      <c r="L208" s="110"/>
      <c r="M208" s="110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85</v>
      </c>
      <c r="G209" s="101" t="s">
        <v>437</v>
      </c>
      <c r="H209" s="35">
        <v>0</v>
      </c>
      <c r="I209" s="110"/>
      <c r="J209" s="110"/>
      <c r="K209" s="110"/>
      <c r="L209" s="110"/>
      <c r="M209" s="110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86</v>
      </c>
      <c r="G210" s="101" t="s">
        <v>437</v>
      </c>
      <c r="H210" s="35">
        <v>0</v>
      </c>
      <c r="I210" s="110"/>
      <c r="J210" s="110"/>
      <c r="K210" s="110"/>
      <c r="L210" s="110"/>
      <c r="M210" s="110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87</v>
      </c>
      <c r="G211" s="101" t="s">
        <v>437</v>
      </c>
      <c r="H211" s="35">
        <v>98402.411130893845</v>
      </c>
      <c r="I211" s="110"/>
      <c r="J211" s="110"/>
      <c r="K211" s="110"/>
      <c r="L211" s="110"/>
      <c r="M211" s="110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88</v>
      </c>
      <c r="G212" s="101" t="s">
        <v>437</v>
      </c>
      <c r="H212" s="35">
        <v>156757.32935967969</v>
      </c>
      <c r="I212" s="110"/>
      <c r="J212" s="110"/>
      <c r="K212" s="110"/>
      <c r="L212" s="110"/>
      <c r="M212" s="110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89</v>
      </c>
      <c r="G213" s="101" t="s">
        <v>437</v>
      </c>
      <c r="H213" s="35">
        <v>185616.95122881781</v>
      </c>
      <c r="I213" s="110"/>
      <c r="J213" s="110"/>
      <c r="K213" s="110"/>
      <c r="L213" s="110"/>
      <c r="M213" s="110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90</v>
      </c>
      <c r="G214" s="101" t="s">
        <v>437</v>
      </c>
      <c r="H214" s="35">
        <v>185616.95122881781</v>
      </c>
      <c r="I214" s="110"/>
      <c r="J214" s="110"/>
      <c r="K214" s="110"/>
      <c r="L214" s="110"/>
      <c r="M214" s="110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91</v>
      </c>
      <c r="G215" s="101" t="s">
        <v>437</v>
      </c>
      <c r="H215" s="35">
        <v>0</v>
      </c>
      <c r="I215" s="110"/>
      <c r="J215" s="110"/>
      <c r="K215" s="110"/>
      <c r="L215" s="110"/>
      <c r="M215" s="110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92</v>
      </c>
      <c r="G216" s="101" t="s">
        <v>437</v>
      </c>
      <c r="H216" s="35">
        <v>0</v>
      </c>
      <c r="I216" s="110"/>
      <c r="J216" s="110"/>
      <c r="K216" s="110"/>
      <c r="L216" s="110"/>
      <c r="M216" s="110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93</v>
      </c>
      <c r="G217" s="101" t="s">
        <v>437</v>
      </c>
      <c r="H217" s="35">
        <v>0</v>
      </c>
      <c r="I217" s="110"/>
      <c r="J217" s="110"/>
      <c r="K217" s="110"/>
      <c r="L217" s="110"/>
      <c r="M217" s="110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94</v>
      </c>
      <c r="G218" s="101" t="s">
        <v>437</v>
      </c>
      <c r="H218" s="35">
        <v>0</v>
      </c>
      <c r="I218" s="110"/>
      <c r="J218" s="110"/>
      <c r="K218" s="110"/>
      <c r="L218" s="110"/>
      <c r="M218" s="110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95</v>
      </c>
      <c r="G219" s="101" t="s">
        <v>437</v>
      </c>
      <c r="H219" s="35">
        <v>257066.76396210247</v>
      </c>
      <c r="I219" s="110"/>
      <c r="J219" s="110"/>
      <c r="K219" s="110"/>
      <c r="L219" s="110"/>
      <c r="M219" s="110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96</v>
      </c>
      <c r="G220" s="101" t="s">
        <v>437</v>
      </c>
      <c r="H220" s="35">
        <v>257066.76396210247</v>
      </c>
      <c r="I220" s="110"/>
      <c r="J220" s="110"/>
      <c r="K220" s="110"/>
      <c r="L220" s="110"/>
      <c r="M220" s="110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97</v>
      </c>
      <c r="G221" s="101" t="s">
        <v>437</v>
      </c>
      <c r="H221" s="35">
        <v>257066.76396210247</v>
      </c>
      <c r="I221" s="110"/>
      <c r="J221" s="110"/>
      <c r="K221" s="110"/>
      <c r="L221" s="110"/>
      <c r="M221" s="110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98</v>
      </c>
      <c r="G222" s="101" t="s">
        <v>437</v>
      </c>
      <c r="H222" s="35">
        <v>1206510.1829873158</v>
      </c>
      <c r="I222" s="110"/>
      <c r="J222" s="110"/>
      <c r="K222" s="110"/>
      <c r="L222" s="110"/>
      <c r="M222" s="110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99</v>
      </c>
      <c r="G223" s="101" t="s">
        <v>437</v>
      </c>
      <c r="H223" s="35">
        <v>1206510.1829873158</v>
      </c>
      <c r="I223" s="110"/>
      <c r="J223" s="110"/>
      <c r="K223" s="110"/>
      <c r="L223" s="110"/>
      <c r="M223" s="110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100</v>
      </c>
      <c r="G224" s="101" t="s">
        <v>437</v>
      </c>
      <c r="H224" s="35">
        <v>0</v>
      </c>
      <c r="I224" s="110"/>
      <c r="J224" s="110"/>
      <c r="K224" s="110"/>
      <c r="L224" s="110"/>
      <c r="M224" s="110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101</v>
      </c>
      <c r="G225" s="101" t="s">
        <v>437</v>
      </c>
      <c r="H225" s="35">
        <v>0</v>
      </c>
      <c r="I225" s="110"/>
      <c r="J225" s="110"/>
      <c r="K225" s="110"/>
      <c r="L225" s="110"/>
      <c r="M225" s="110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102</v>
      </c>
      <c r="G226" s="101" t="s">
        <v>437</v>
      </c>
      <c r="H226" s="35">
        <v>184981.27673830817</v>
      </c>
      <c r="I226" s="110"/>
      <c r="J226" s="110"/>
      <c r="K226" s="110"/>
      <c r="L226" s="110"/>
      <c r="M226" s="110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103</v>
      </c>
      <c r="G227" s="101" t="s">
        <v>437</v>
      </c>
      <c r="H227" s="35">
        <v>184981.27673830817</v>
      </c>
      <c r="I227" s="110"/>
      <c r="J227" s="110"/>
      <c r="K227" s="110"/>
      <c r="L227" s="110"/>
      <c r="M227" s="110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104</v>
      </c>
      <c r="G228" s="101" t="s">
        <v>437</v>
      </c>
      <c r="H228" s="35">
        <v>0</v>
      </c>
      <c r="I228" s="110"/>
      <c r="J228" s="110"/>
      <c r="K228" s="110"/>
      <c r="L228" s="110"/>
      <c r="M228" s="110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105</v>
      </c>
      <c r="G229" s="101" t="s">
        <v>437</v>
      </c>
      <c r="H229" s="35">
        <v>0</v>
      </c>
      <c r="I229" s="110"/>
      <c r="J229" s="110"/>
      <c r="K229" s="110"/>
      <c r="L229" s="110"/>
      <c r="M229" s="110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106</v>
      </c>
      <c r="G230" s="101" t="s">
        <v>437</v>
      </c>
      <c r="H230" s="35">
        <v>588507.44331383402</v>
      </c>
      <c r="I230" s="110"/>
      <c r="J230" s="110"/>
      <c r="K230" s="110"/>
      <c r="L230" s="110"/>
      <c r="M230" s="110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107</v>
      </c>
      <c r="G231" s="101" t="s">
        <v>437</v>
      </c>
      <c r="H231" s="35">
        <v>184981.27673830817</v>
      </c>
      <c r="I231" s="110"/>
      <c r="J231" s="110"/>
      <c r="K231" s="110"/>
      <c r="L231" s="110"/>
      <c r="M231" s="110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108</v>
      </c>
      <c r="G232" s="101" t="s">
        <v>437</v>
      </c>
      <c r="H232" s="35">
        <v>697843.45568149386</v>
      </c>
      <c r="I232" s="110"/>
      <c r="J232" s="110"/>
      <c r="K232" s="110"/>
      <c r="L232" s="110"/>
      <c r="M232" s="110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109</v>
      </c>
      <c r="G233" s="101" t="s">
        <v>437</v>
      </c>
      <c r="H233" s="35">
        <v>697843.45568149386</v>
      </c>
      <c r="I233" s="110"/>
      <c r="J233" s="110"/>
      <c r="K233" s="110"/>
      <c r="L233" s="110"/>
      <c r="M233" s="110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110</v>
      </c>
      <c r="G234" s="101" t="s">
        <v>437</v>
      </c>
      <c r="H234" s="35">
        <v>532568.08814898483</v>
      </c>
      <c r="I234" s="110"/>
      <c r="J234" s="110"/>
      <c r="K234" s="110"/>
      <c r="L234" s="110"/>
      <c r="M234" s="110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111</v>
      </c>
      <c r="G235" s="101" t="s">
        <v>437</v>
      </c>
      <c r="H235" s="35">
        <v>571979.90656058316</v>
      </c>
      <c r="I235" s="110"/>
      <c r="J235" s="110"/>
      <c r="K235" s="110"/>
      <c r="L235" s="110"/>
      <c r="M235" s="110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112</v>
      </c>
      <c r="G236" s="101" t="s">
        <v>437</v>
      </c>
      <c r="H236" s="35">
        <v>11950.680421581421</v>
      </c>
      <c r="I236" s="110"/>
      <c r="J236" s="110"/>
      <c r="K236" s="110"/>
      <c r="L236" s="110"/>
      <c r="M236" s="110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113</v>
      </c>
      <c r="G237" s="101" t="s">
        <v>437</v>
      </c>
      <c r="H237" s="35">
        <v>2234904.3737338278</v>
      </c>
      <c r="I237" s="110"/>
      <c r="J237" s="110"/>
      <c r="K237" s="110"/>
      <c r="L237" s="110"/>
      <c r="M237" s="110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114</v>
      </c>
      <c r="G238" s="101" t="s">
        <v>437</v>
      </c>
      <c r="H238" s="35">
        <v>11950.680421581421</v>
      </c>
      <c r="I238" s="110"/>
      <c r="J238" s="110"/>
      <c r="K238" s="110"/>
      <c r="L238" s="110"/>
      <c r="M238" s="110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115</v>
      </c>
      <c r="G239" s="101" t="s">
        <v>437</v>
      </c>
      <c r="H239" s="35">
        <v>714879.53202715248</v>
      </c>
      <c r="I239" s="110"/>
      <c r="J239" s="110"/>
      <c r="K239" s="110"/>
      <c r="L239" s="110"/>
      <c r="M239" s="110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116</v>
      </c>
      <c r="G240" s="101" t="s">
        <v>437</v>
      </c>
      <c r="H240" s="35">
        <v>1228504.5203589497</v>
      </c>
      <c r="I240" s="110"/>
      <c r="J240" s="110"/>
      <c r="K240" s="110"/>
      <c r="L240" s="110"/>
      <c r="M240" s="110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117</v>
      </c>
      <c r="G241" s="101" t="s">
        <v>437</v>
      </c>
      <c r="H241" s="35">
        <v>0</v>
      </c>
      <c r="I241" s="110"/>
      <c r="J241" s="110"/>
      <c r="K241" s="110"/>
      <c r="L241" s="110"/>
      <c r="M241" s="110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118</v>
      </c>
      <c r="G242" s="101" t="s">
        <v>437</v>
      </c>
      <c r="H242" s="35">
        <v>0</v>
      </c>
      <c r="I242" s="110"/>
      <c r="J242" s="110"/>
      <c r="K242" s="110"/>
      <c r="L242" s="110"/>
      <c r="M242" s="110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119</v>
      </c>
      <c r="G243" s="101" t="s">
        <v>437</v>
      </c>
      <c r="H243" s="35">
        <v>0</v>
      </c>
      <c r="I243" s="110"/>
      <c r="J243" s="110"/>
      <c r="K243" s="110"/>
      <c r="L243" s="110"/>
      <c r="M243" s="110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120</v>
      </c>
      <c r="G244" s="101" t="s">
        <v>437</v>
      </c>
      <c r="H244" s="35">
        <v>1239565.2564938178</v>
      </c>
      <c r="I244" s="110"/>
      <c r="J244" s="110"/>
      <c r="K244" s="110"/>
      <c r="L244" s="110"/>
      <c r="M244" s="110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121</v>
      </c>
      <c r="G245" s="101" t="s">
        <v>437</v>
      </c>
      <c r="H245" s="35">
        <v>1239565.2564938178</v>
      </c>
      <c r="I245" s="110"/>
      <c r="J245" s="110"/>
      <c r="K245" s="110"/>
      <c r="L245" s="110"/>
      <c r="M245" s="110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122</v>
      </c>
      <c r="G246" s="101" t="s">
        <v>437</v>
      </c>
      <c r="H246" s="35">
        <v>1239565.2564938178</v>
      </c>
      <c r="I246" s="110"/>
      <c r="J246" s="110"/>
      <c r="K246" s="110"/>
      <c r="L246" s="110"/>
      <c r="M246" s="110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123</v>
      </c>
      <c r="G247" s="101" t="s">
        <v>437</v>
      </c>
      <c r="H247" s="35">
        <v>0</v>
      </c>
      <c r="I247" s="110"/>
      <c r="J247" s="110"/>
      <c r="K247" s="110"/>
      <c r="L247" s="110"/>
      <c r="M247" s="110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124</v>
      </c>
      <c r="G248" s="101" t="s">
        <v>437</v>
      </c>
      <c r="H248" s="35">
        <v>1106455.0181810968</v>
      </c>
      <c r="I248" s="110"/>
      <c r="J248" s="110"/>
      <c r="K248" s="110"/>
      <c r="L248" s="110"/>
      <c r="M248" s="110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125</v>
      </c>
      <c r="G249" s="101" t="s">
        <v>437</v>
      </c>
      <c r="H249" s="35">
        <v>1106455.0181810968</v>
      </c>
      <c r="I249" s="110"/>
      <c r="J249" s="110"/>
      <c r="K249" s="110"/>
      <c r="L249" s="110"/>
      <c r="M249" s="110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126</v>
      </c>
      <c r="G250" s="101" t="s">
        <v>437</v>
      </c>
      <c r="H250" s="35">
        <v>2234904.3737338278</v>
      </c>
      <c r="I250" s="110"/>
      <c r="J250" s="110"/>
      <c r="K250" s="110"/>
      <c r="L250" s="110"/>
      <c r="M250" s="110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127</v>
      </c>
      <c r="G251" s="101" t="s">
        <v>437</v>
      </c>
      <c r="H251" s="35">
        <v>11950.680421581421</v>
      </c>
      <c r="I251" s="110"/>
      <c r="J251" s="110"/>
      <c r="K251" s="110"/>
      <c r="L251" s="110"/>
      <c r="M251" s="110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128</v>
      </c>
      <c r="G252" s="101" t="s">
        <v>437</v>
      </c>
      <c r="H252" s="35">
        <v>62645</v>
      </c>
      <c r="I252" s="110"/>
      <c r="J252" s="110"/>
      <c r="K252" s="110"/>
      <c r="L252" s="110"/>
      <c r="M252" s="110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129</v>
      </c>
      <c r="G253" s="101" t="s">
        <v>437</v>
      </c>
      <c r="H253" s="35">
        <v>62645</v>
      </c>
      <c r="I253" s="110"/>
      <c r="J253" s="110"/>
      <c r="K253" s="110"/>
      <c r="L253" s="110"/>
      <c r="M253" s="110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130</v>
      </c>
      <c r="G254" s="101" t="s">
        <v>437</v>
      </c>
      <c r="H254" s="35">
        <v>62645</v>
      </c>
      <c r="I254" s="110"/>
      <c r="J254" s="110"/>
      <c r="K254" s="110"/>
      <c r="L254" s="110"/>
      <c r="M254" s="110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3" t="s">
        <v>131</v>
      </c>
      <c r="G255" s="103" t="s">
        <v>437</v>
      </c>
      <c r="H255" s="36">
        <v>62645</v>
      </c>
      <c r="I255" s="110"/>
      <c r="J255" s="110"/>
      <c r="K255" s="110"/>
      <c r="L255" s="110"/>
      <c r="M255" s="110"/>
      <c r="N255" s="65"/>
      <c r="O255" s="39"/>
    </row>
    <row r="256" spans="1:15" x14ac:dyDescent="0.25">
      <c r="A256" s="39"/>
      <c r="B256" s="39"/>
      <c r="C256" s="39"/>
      <c r="D256" s="39"/>
      <c r="E256" s="39"/>
      <c r="F256" s="39"/>
      <c r="G256" s="39"/>
      <c r="H256" s="65"/>
      <c r="I256" s="65"/>
      <c r="J256" s="65"/>
      <c r="K256" s="65"/>
      <c r="L256" s="65"/>
      <c r="M256" s="65"/>
      <c r="N256" s="65"/>
      <c r="O256" s="39"/>
    </row>
    <row r="257" spans="1:15" x14ac:dyDescent="0.25">
      <c r="A257" s="39"/>
      <c r="B257" s="39"/>
      <c r="C257" s="96" t="s">
        <v>762</v>
      </c>
      <c r="D257" s="96"/>
      <c r="E257" s="96"/>
      <c r="F257" s="96"/>
      <c r="G257" s="96"/>
      <c r="H257" s="97"/>
      <c r="I257" s="97"/>
      <c r="J257" s="97"/>
      <c r="K257" s="97"/>
      <c r="L257" s="97"/>
      <c r="M257" s="97"/>
      <c r="N257" s="97"/>
      <c r="O257" s="96"/>
    </row>
    <row r="258" spans="1:15" x14ac:dyDescent="0.25">
      <c r="A258" s="39"/>
      <c r="B258" s="39"/>
      <c r="C258" s="95"/>
      <c r="D258" s="95"/>
      <c r="E258" s="39"/>
      <c r="F258" s="39"/>
      <c r="G258" s="39"/>
      <c r="H258" s="65"/>
      <c r="I258" s="65"/>
      <c r="J258" s="65"/>
      <c r="K258" s="65"/>
      <c r="L258" s="65"/>
      <c r="M258" s="65"/>
      <c r="N258" s="65"/>
      <c r="O258" s="39"/>
    </row>
    <row r="259" spans="1:15" x14ac:dyDescent="0.25">
      <c r="A259" s="39"/>
      <c r="B259" s="39"/>
      <c r="C259" s="39"/>
      <c r="D259" s="95" t="s">
        <v>499</v>
      </c>
      <c r="E259" s="39"/>
      <c r="F259" s="39"/>
      <c r="G259" s="39"/>
      <c r="H259" s="65"/>
      <c r="I259" s="65"/>
      <c r="J259" s="65"/>
      <c r="K259" s="65"/>
      <c r="L259" s="65"/>
      <c r="M259" s="65"/>
      <c r="N259" s="65"/>
      <c r="O259" s="39"/>
    </row>
    <row r="260" spans="1:15" x14ac:dyDescent="0.25">
      <c r="A260" s="39"/>
      <c r="B260" s="39"/>
      <c r="C260" s="39"/>
      <c r="D260" s="95" t="s">
        <v>500</v>
      </c>
      <c r="E260" s="39"/>
      <c r="F260" s="39"/>
      <c r="G260" s="39"/>
      <c r="H260" s="65"/>
      <c r="I260" s="65"/>
      <c r="J260" s="65"/>
      <c r="K260" s="65"/>
      <c r="L260" s="65"/>
      <c r="M260" s="65"/>
      <c r="N260" s="65"/>
      <c r="O260" s="39"/>
    </row>
    <row r="261" spans="1:15" x14ac:dyDescent="0.25">
      <c r="A261" s="39"/>
      <c r="B261" s="39"/>
      <c r="C261" s="39"/>
      <c r="D261" s="95"/>
      <c r="E261" s="39"/>
      <c r="F261" s="39"/>
      <c r="G261" s="39"/>
      <c r="H261" s="65"/>
      <c r="I261" s="65"/>
      <c r="J261" s="65"/>
      <c r="K261" s="65"/>
      <c r="L261" s="65"/>
      <c r="M261" s="65"/>
      <c r="N261" s="65"/>
      <c r="O261" s="39"/>
    </row>
    <row r="262" spans="1:15" x14ac:dyDescent="0.25">
      <c r="A262" s="101"/>
      <c r="B262" s="39"/>
      <c r="C262" s="39"/>
      <c r="D262" s="95"/>
      <c r="E262" s="98" t="s">
        <v>133</v>
      </c>
      <c r="F262" s="39"/>
      <c r="G262" s="39"/>
      <c r="H262" s="65"/>
      <c r="I262" s="112" t="s">
        <v>314</v>
      </c>
      <c r="J262" s="65"/>
      <c r="K262" s="65"/>
      <c r="L262" s="65"/>
      <c r="M262" s="65"/>
      <c r="N262" s="65"/>
      <c r="O262" s="101" t="s">
        <v>601</v>
      </c>
    </row>
    <row r="263" spans="1:15" x14ac:dyDescent="0.25">
      <c r="A263" s="39"/>
      <c r="B263" s="39"/>
      <c r="C263" s="39"/>
      <c r="D263" s="39"/>
      <c r="E263" s="95"/>
      <c r="F263" s="99" t="s">
        <v>134</v>
      </c>
      <c r="G263" s="99" t="s">
        <v>438</v>
      </c>
      <c r="H263" s="34">
        <v>0</v>
      </c>
      <c r="I263" s="110"/>
      <c r="J263" s="110"/>
      <c r="K263" s="110"/>
      <c r="L263" s="110"/>
      <c r="M263" s="110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135</v>
      </c>
      <c r="G264" s="101" t="s">
        <v>438</v>
      </c>
      <c r="H264" s="35">
        <v>86738652.873247191</v>
      </c>
      <c r="I264" s="110"/>
      <c r="J264" s="110"/>
      <c r="K264" s="110"/>
      <c r="L264" s="110"/>
      <c r="M264" s="110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136</v>
      </c>
      <c r="G265" s="101" t="s">
        <v>438</v>
      </c>
      <c r="H265" s="35">
        <v>2290199.98832</v>
      </c>
      <c r="I265" s="110"/>
      <c r="J265" s="110"/>
      <c r="K265" s="110"/>
      <c r="L265" s="110"/>
      <c r="M265" s="110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137</v>
      </c>
      <c r="G266" s="101" t="s">
        <v>438</v>
      </c>
      <c r="H266" s="35">
        <v>23607461.477008216</v>
      </c>
      <c r="I266" s="110"/>
      <c r="J266" s="110"/>
      <c r="K266" s="110"/>
      <c r="L266" s="110"/>
      <c r="M266" s="110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138</v>
      </c>
      <c r="G267" s="101" t="s">
        <v>438</v>
      </c>
      <c r="H267" s="35">
        <v>11683384.510026801</v>
      </c>
      <c r="I267" s="110"/>
      <c r="J267" s="110"/>
      <c r="K267" s="110"/>
      <c r="L267" s="110"/>
      <c r="M267" s="110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139</v>
      </c>
      <c r="G268" s="101" t="s">
        <v>438</v>
      </c>
      <c r="H268" s="35">
        <v>4908277.5940000005</v>
      </c>
      <c r="I268" s="110"/>
      <c r="J268" s="110"/>
      <c r="K268" s="110"/>
      <c r="L268" s="110"/>
      <c r="M268" s="110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140</v>
      </c>
      <c r="G269" s="101" t="s">
        <v>438</v>
      </c>
      <c r="H269" s="35">
        <v>774869.38446319988</v>
      </c>
      <c r="I269" s="110"/>
      <c r="J269" s="110"/>
      <c r="K269" s="110"/>
      <c r="L269" s="110"/>
      <c r="M269" s="110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141</v>
      </c>
      <c r="G270" s="101" t="s">
        <v>438</v>
      </c>
      <c r="H270" s="35">
        <v>5623596.7952637831</v>
      </c>
      <c r="I270" s="110"/>
      <c r="J270" s="110"/>
      <c r="K270" s="110"/>
      <c r="L270" s="110"/>
      <c r="M270" s="110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142</v>
      </c>
      <c r="G271" s="101" t="s">
        <v>438</v>
      </c>
      <c r="H271" s="35">
        <v>4196281.057910746</v>
      </c>
      <c r="I271" s="110"/>
      <c r="J271" s="110"/>
      <c r="K271" s="110"/>
      <c r="L271" s="110"/>
      <c r="M271" s="110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143</v>
      </c>
      <c r="G272" s="101" t="s">
        <v>438</v>
      </c>
      <c r="H272" s="35">
        <v>23392225.305936411</v>
      </c>
      <c r="I272" s="110"/>
      <c r="J272" s="110"/>
      <c r="K272" s="110"/>
      <c r="L272" s="110"/>
      <c r="M272" s="110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144</v>
      </c>
      <c r="G273" s="101" t="s">
        <v>438</v>
      </c>
      <c r="H273" s="35">
        <v>3993267.1215815498</v>
      </c>
      <c r="I273" s="110"/>
      <c r="J273" s="110"/>
      <c r="K273" s="110"/>
      <c r="L273" s="110"/>
      <c r="M273" s="110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1" t="s">
        <v>145</v>
      </c>
      <c r="G274" s="101" t="s">
        <v>438</v>
      </c>
      <c r="H274" s="35">
        <v>1843095.2204672005</v>
      </c>
      <c r="I274" s="110"/>
      <c r="J274" s="110"/>
      <c r="K274" s="110"/>
      <c r="L274" s="110"/>
      <c r="M274" s="110"/>
      <c r="N274" s="65"/>
      <c r="O274" s="39"/>
    </row>
    <row r="275" spans="1:15" x14ac:dyDescent="0.25">
      <c r="A275" s="39"/>
      <c r="B275" s="39"/>
      <c r="C275" s="39"/>
      <c r="D275" s="39"/>
      <c r="E275" s="39"/>
      <c r="F275" s="101" t="s">
        <v>146</v>
      </c>
      <c r="G275" s="101" t="s">
        <v>438</v>
      </c>
      <c r="H275" s="35">
        <v>1439482.6722359997</v>
      </c>
      <c r="I275" s="110"/>
      <c r="J275" s="110"/>
      <c r="K275" s="110"/>
      <c r="L275" s="110"/>
      <c r="M275" s="110"/>
      <c r="N275" s="65"/>
      <c r="O275" s="39"/>
    </row>
    <row r="276" spans="1:15" x14ac:dyDescent="0.25">
      <c r="A276" s="39"/>
      <c r="B276" s="39"/>
      <c r="C276" s="39"/>
      <c r="D276" s="39"/>
      <c r="E276" s="39"/>
      <c r="F276" s="101" t="s">
        <v>147</v>
      </c>
      <c r="G276" s="101" t="s">
        <v>438</v>
      </c>
      <c r="H276" s="35">
        <v>1363081.0727301883</v>
      </c>
      <c r="I276" s="110"/>
      <c r="J276" s="110"/>
      <c r="K276" s="110"/>
      <c r="L276" s="110"/>
      <c r="M276" s="110"/>
      <c r="N276" s="65"/>
      <c r="O276" s="39"/>
    </row>
    <row r="277" spans="1:15" x14ac:dyDescent="0.25">
      <c r="A277" s="39"/>
      <c r="B277" s="39"/>
      <c r="C277" s="39"/>
      <c r="D277" s="39"/>
      <c r="E277" s="39"/>
      <c r="F277" s="101" t="s">
        <v>148</v>
      </c>
      <c r="G277" s="101" t="s">
        <v>438</v>
      </c>
      <c r="H277" s="35">
        <v>5439945.9945200011</v>
      </c>
      <c r="I277" s="110"/>
      <c r="J277" s="110"/>
      <c r="K277" s="110"/>
      <c r="L277" s="110"/>
      <c r="M277" s="110"/>
      <c r="N277" s="65"/>
      <c r="O277" s="39"/>
    </row>
    <row r="278" spans="1:15" x14ac:dyDescent="0.25">
      <c r="A278" s="39"/>
      <c r="B278" s="39"/>
      <c r="C278" s="39"/>
      <c r="D278" s="39"/>
      <c r="E278" s="39"/>
      <c r="F278" s="101" t="s">
        <v>149</v>
      </c>
      <c r="G278" s="101" t="s">
        <v>438</v>
      </c>
      <c r="H278" s="35">
        <v>11413705.956353251</v>
      </c>
      <c r="I278" s="110"/>
      <c r="J278" s="110"/>
      <c r="K278" s="110"/>
      <c r="L278" s="110"/>
      <c r="M278" s="110"/>
      <c r="N278" s="65"/>
      <c r="O278" s="39"/>
    </row>
    <row r="279" spans="1:15" x14ac:dyDescent="0.25">
      <c r="A279" s="39"/>
      <c r="B279" s="39"/>
      <c r="C279" s="39"/>
      <c r="D279" s="39"/>
      <c r="E279" s="39"/>
      <c r="F279" s="101" t="s">
        <v>150</v>
      </c>
      <c r="G279" s="101" t="s">
        <v>438</v>
      </c>
      <c r="H279" s="35">
        <v>5534355.2999991588</v>
      </c>
      <c r="I279" s="110"/>
      <c r="J279" s="110"/>
      <c r="K279" s="110"/>
      <c r="L279" s="110"/>
      <c r="M279" s="110"/>
      <c r="N279" s="65"/>
      <c r="O279" s="39"/>
    </row>
    <row r="280" spans="1:15" x14ac:dyDescent="0.25">
      <c r="A280" s="39"/>
      <c r="B280" s="39"/>
      <c r="C280" s="39"/>
      <c r="D280" s="39"/>
      <c r="E280" s="39"/>
      <c r="F280" s="101" t="s">
        <v>151</v>
      </c>
      <c r="G280" s="101" t="s">
        <v>438</v>
      </c>
      <c r="H280" s="35">
        <v>1372637.3768207175</v>
      </c>
      <c r="I280" s="110"/>
      <c r="J280" s="110"/>
      <c r="K280" s="110"/>
      <c r="L280" s="110"/>
      <c r="M280" s="110"/>
      <c r="N280" s="65"/>
      <c r="O280" s="39"/>
    </row>
    <row r="281" spans="1:15" x14ac:dyDescent="0.25">
      <c r="A281" s="39"/>
      <c r="B281" s="39"/>
      <c r="C281" s="39"/>
      <c r="D281" s="39"/>
      <c r="E281" s="39"/>
      <c r="F281" s="101" t="s">
        <v>152</v>
      </c>
      <c r="G281" s="101" t="s">
        <v>438</v>
      </c>
      <c r="H281" s="35">
        <v>1961463.4264481019</v>
      </c>
      <c r="I281" s="110"/>
      <c r="J281" s="110"/>
      <c r="K281" s="110"/>
      <c r="L281" s="110"/>
      <c r="M281" s="110"/>
      <c r="N281" s="65"/>
      <c r="O281" s="39"/>
    </row>
    <row r="282" spans="1:15" x14ac:dyDescent="0.25">
      <c r="A282" s="39"/>
      <c r="B282" s="39"/>
      <c r="C282" s="39"/>
      <c r="D282" s="39"/>
      <c r="E282" s="39"/>
      <c r="F282" s="101" t="s">
        <v>153</v>
      </c>
      <c r="G282" s="101" t="s">
        <v>438</v>
      </c>
      <c r="H282" s="35">
        <v>7781675.5968572572</v>
      </c>
      <c r="I282" s="110"/>
      <c r="J282" s="110"/>
      <c r="K282" s="110"/>
      <c r="L282" s="110"/>
      <c r="M282" s="110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154</v>
      </c>
      <c r="G283" s="101" t="s">
        <v>438</v>
      </c>
      <c r="H283" s="35">
        <v>1536754.3240344031</v>
      </c>
      <c r="I283" s="110"/>
      <c r="J283" s="110"/>
      <c r="K283" s="110"/>
      <c r="L283" s="110"/>
      <c r="M283" s="110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155</v>
      </c>
      <c r="G284" s="101" t="s">
        <v>438</v>
      </c>
      <c r="H284" s="35">
        <v>2241851.08</v>
      </c>
      <c r="I284" s="110"/>
      <c r="J284" s="110"/>
      <c r="K284" s="110"/>
      <c r="L284" s="110"/>
      <c r="M284" s="110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156</v>
      </c>
      <c r="G285" s="101" t="s">
        <v>438</v>
      </c>
      <c r="H285" s="35">
        <v>7620000</v>
      </c>
      <c r="I285" s="110"/>
      <c r="J285" s="110"/>
      <c r="K285" s="110"/>
      <c r="L285" s="110"/>
      <c r="M285" s="110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1" t="s">
        <v>157</v>
      </c>
      <c r="G286" s="101" t="s">
        <v>438</v>
      </c>
      <c r="H286" s="35">
        <v>815642.07</v>
      </c>
      <c r="I286" s="110"/>
      <c r="J286" s="110"/>
      <c r="K286" s="110"/>
      <c r="L286" s="110"/>
      <c r="M286" s="110"/>
      <c r="N286" s="65"/>
      <c r="O286" s="39"/>
    </row>
    <row r="287" spans="1:15" x14ac:dyDescent="0.25">
      <c r="A287" s="39"/>
      <c r="B287" s="39"/>
      <c r="C287" s="39"/>
      <c r="D287" s="39"/>
      <c r="E287" s="39"/>
      <c r="F287" s="101" t="s">
        <v>158</v>
      </c>
      <c r="G287" s="101" t="s">
        <v>438</v>
      </c>
      <c r="H287" s="35">
        <v>12183907.341469606</v>
      </c>
      <c r="I287" s="110"/>
      <c r="J287" s="110"/>
      <c r="K287" s="110"/>
      <c r="L287" s="110"/>
      <c r="M287" s="110"/>
      <c r="N287" s="65"/>
      <c r="O287" s="39"/>
    </row>
    <row r="288" spans="1:15" x14ac:dyDescent="0.25">
      <c r="A288" s="39"/>
      <c r="B288" s="39"/>
      <c r="C288" s="39"/>
      <c r="D288" s="39"/>
      <c r="E288" s="39"/>
      <c r="F288" s="101" t="s">
        <v>159</v>
      </c>
      <c r="G288" s="101" t="s">
        <v>438</v>
      </c>
      <c r="H288" s="35">
        <v>0.13999999737279722</v>
      </c>
      <c r="I288" s="110"/>
      <c r="J288" s="110"/>
      <c r="K288" s="110"/>
      <c r="L288" s="110"/>
      <c r="M288" s="110"/>
      <c r="N288" s="65"/>
      <c r="O288" s="39"/>
    </row>
    <row r="289" spans="1:15" x14ac:dyDescent="0.25">
      <c r="A289" s="39"/>
      <c r="B289" s="39"/>
      <c r="C289" s="39"/>
      <c r="D289" s="39"/>
      <c r="E289" s="39"/>
      <c r="F289" s="101" t="s">
        <v>160</v>
      </c>
      <c r="G289" s="101" t="s">
        <v>438</v>
      </c>
      <c r="H289" s="35">
        <v>1014745.8008000003</v>
      </c>
      <c r="I289" s="110"/>
      <c r="J289" s="110"/>
      <c r="K289" s="110"/>
      <c r="L289" s="110"/>
      <c r="M289" s="110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161</v>
      </c>
      <c r="G290" s="101" t="s">
        <v>438</v>
      </c>
      <c r="H290" s="35">
        <v>-5196946.3263321621</v>
      </c>
      <c r="I290" s="110"/>
      <c r="J290" s="110"/>
      <c r="K290" s="110"/>
      <c r="L290" s="110"/>
      <c r="M290" s="110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162</v>
      </c>
      <c r="G291" s="101" t="s">
        <v>438</v>
      </c>
      <c r="H291" s="35">
        <v>39130465.450300001</v>
      </c>
      <c r="I291" s="110"/>
      <c r="J291" s="110"/>
      <c r="K291" s="110"/>
      <c r="L291" s="110"/>
      <c r="M291" s="110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163</v>
      </c>
      <c r="G292" s="101" t="s">
        <v>438</v>
      </c>
      <c r="H292" s="35">
        <v>20184226.800000001</v>
      </c>
      <c r="I292" s="110"/>
      <c r="J292" s="110"/>
      <c r="K292" s="110"/>
      <c r="L292" s="110"/>
      <c r="M292" s="110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164</v>
      </c>
      <c r="G293" s="101" t="s">
        <v>438</v>
      </c>
      <c r="H293" s="35">
        <v>8000000</v>
      </c>
      <c r="I293" s="110"/>
      <c r="J293" s="110"/>
      <c r="K293" s="110"/>
      <c r="L293" s="110"/>
      <c r="M293" s="110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189</v>
      </c>
      <c r="G294" s="101" t="s">
        <v>438</v>
      </c>
      <c r="H294" s="35">
        <v>-7620000</v>
      </c>
      <c r="I294" s="110"/>
      <c r="J294" s="110"/>
      <c r="K294" s="110"/>
      <c r="L294" s="110"/>
      <c r="M294" s="110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728</v>
      </c>
      <c r="G295" s="101" t="s">
        <v>438</v>
      </c>
      <c r="H295" s="35">
        <v>1450093.49</v>
      </c>
      <c r="I295" s="110"/>
      <c r="J295" s="110"/>
      <c r="K295" s="110"/>
      <c r="L295" s="110"/>
      <c r="M295" s="110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727</v>
      </c>
      <c r="G296" s="101" t="s">
        <v>438</v>
      </c>
      <c r="H296" s="35">
        <v>2470943.7074936316</v>
      </c>
      <c r="I296" s="110"/>
      <c r="J296" s="110"/>
      <c r="K296" s="110"/>
      <c r="L296" s="110"/>
      <c r="M296" s="110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3" t="s">
        <v>755</v>
      </c>
      <c r="G297" s="103" t="s">
        <v>438</v>
      </c>
      <c r="H297" s="164"/>
      <c r="I297" s="110"/>
      <c r="J297" s="110"/>
      <c r="K297" s="110"/>
      <c r="L297" s="110"/>
      <c r="M297" s="110"/>
      <c r="N297" s="65"/>
      <c r="O297" s="39"/>
    </row>
    <row r="298" spans="1:15" x14ac:dyDescent="0.25">
      <c r="A298" s="39"/>
      <c r="B298" s="39"/>
      <c r="C298" s="39"/>
      <c r="D298" s="39"/>
      <c r="E298" s="39"/>
      <c r="F298" s="39"/>
      <c r="G298" s="39"/>
      <c r="H298" s="65"/>
      <c r="I298" s="65"/>
      <c r="J298" s="65"/>
      <c r="K298" s="65"/>
      <c r="L298" s="65"/>
      <c r="M298" s="65"/>
      <c r="N298" s="65"/>
      <c r="O298" s="39"/>
    </row>
    <row r="299" spans="1:15" x14ac:dyDescent="0.25">
      <c r="A299" s="39"/>
      <c r="B299" s="39"/>
      <c r="C299" s="96" t="s">
        <v>763</v>
      </c>
      <c r="D299" s="96"/>
      <c r="E299" s="96"/>
      <c r="F299" s="96"/>
      <c r="G299" s="96"/>
      <c r="H299" s="97"/>
      <c r="I299" s="97"/>
      <c r="J299" s="97"/>
      <c r="K299" s="97"/>
      <c r="L299" s="97"/>
      <c r="M299" s="97"/>
      <c r="N299" s="97"/>
      <c r="O299" s="96"/>
    </row>
    <row r="300" spans="1:15" x14ac:dyDescent="0.25">
      <c r="A300" s="39"/>
      <c r="B300" s="39"/>
      <c r="C300" s="95"/>
      <c r="D300" s="95"/>
      <c r="E300" s="39"/>
      <c r="F300" s="39"/>
      <c r="G300" s="39"/>
      <c r="H300" s="65"/>
      <c r="I300" s="65"/>
      <c r="J300" s="65"/>
      <c r="K300" s="65"/>
      <c r="L300" s="65"/>
      <c r="M300" s="65"/>
      <c r="N300" s="65"/>
      <c r="O300" s="39"/>
    </row>
    <row r="301" spans="1:15" x14ac:dyDescent="0.25">
      <c r="A301" s="39"/>
      <c r="B301" s="39"/>
      <c r="C301" s="39"/>
      <c r="D301" s="95" t="s">
        <v>690</v>
      </c>
      <c r="E301" s="39"/>
      <c r="F301" s="39"/>
      <c r="G301" s="39"/>
      <c r="H301" s="65"/>
      <c r="I301" s="65"/>
      <c r="J301" s="65"/>
      <c r="K301" s="65"/>
      <c r="L301" s="65"/>
      <c r="M301" s="65"/>
      <c r="N301" s="65"/>
      <c r="O301" s="39"/>
    </row>
    <row r="302" spans="1:15" x14ac:dyDescent="0.25">
      <c r="A302" s="39"/>
      <c r="B302" s="39"/>
      <c r="C302" s="39"/>
      <c r="D302" s="95" t="s">
        <v>691</v>
      </c>
      <c r="E302" s="39"/>
      <c r="F302" s="39"/>
      <c r="G302" s="39"/>
      <c r="H302" s="65"/>
      <c r="I302" s="65"/>
      <c r="J302" s="65"/>
      <c r="K302" s="65"/>
      <c r="L302" s="65"/>
      <c r="M302" s="65"/>
      <c r="N302" s="65"/>
      <c r="O302" s="39"/>
    </row>
    <row r="303" spans="1:15" x14ac:dyDescent="0.25">
      <c r="A303" s="39"/>
      <c r="B303" s="39"/>
      <c r="C303" s="39"/>
      <c r="D303" s="95"/>
      <c r="E303" s="39"/>
      <c r="F303" s="39"/>
      <c r="G303" s="39"/>
      <c r="H303" s="65"/>
      <c r="I303" s="65"/>
      <c r="J303" s="65"/>
      <c r="K303" s="65"/>
      <c r="L303" s="65"/>
      <c r="M303" s="65"/>
      <c r="N303" s="65"/>
      <c r="O303" s="39"/>
    </row>
    <row r="304" spans="1:15" x14ac:dyDescent="0.25">
      <c r="A304" s="107"/>
      <c r="B304" s="39"/>
      <c r="C304" s="39"/>
      <c r="D304" s="95"/>
      <c r="E304" s="98" t="s">
        <v>366</v>
      </c>
      <c r="F304" s="39"/>
      <c r="G304" s="39"/>
      <c r="H304" s="65"/>
      <c r="I304" s="112" t="s">
        <v>314</v>
      </c>
      <c r="J304" s="84" t="s">
        <v>165</v>
      </c>
      <c r="K304" s="84" t="s">
        <v>41</v>
      </c>
      <c r="L304" s="84" t="s">
        <v>40</v>
      </c>
      <c r="M304" s="84" t="s">
        <v>166</v>
      </c>
      <c r="N304" s="65"/>
      <c r="O304" s="101" t="s">
        <v>602</v>
      </c>
    </row>
    <row r="305" spans="1:15" x14ac:dyDescent="0.25">
      <c r="A305" s="39"/>
      <c r="B305" s="39"/>
      <c r="C305" s="39"/>
      <c r="D305" s="39"/>
      <c r="E305" s="95"/>
      <c r="F305" s="99" t="s">
        <v>134</v>
      </c>
      <c r="G305" s="99" t="s">
        <v>438</v>
      </c>
      <c r="H305" s="125"/>
      <c r="I305" s="125"/>
      <c r="J305" s="113"/>
      <c r="K305" s="113"/>
      <c r="L305" s="113"/>
      <c r="M305" s="113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135</v>
      </c>
      <c r="G306" s="101" t="s">
        <v>438</v>
      </c>
      <c r="H306" s="110"/>
      <c r="I306" s="110"/>
      <c r="J306" s="35">
        <v>15964378.159526384</v>
      </c>
      <c r="K306" s="35">
        <v>6928378.2203391073</v>
      </c>
      <c r="L306" s="35">
        <v>25847964.55954431</v>
      </c>
      <c r="M306" s="35">
        <v>33944558.974318989</v>
      </c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136</v>
      </c>
      <c r="G307" s="101" t="s">
        <v>438</v>
      </c>
      <c r="H307" s="110"/>
      <c r="I307" s="110"/>
      <c r="J307" s="35">
        <v>0</v>
      </c>
      <c r="K307" s="35">
        <v>0</v>
      </c>
      <c r="L307" s="35">
        <v>0</v>
      </c>
      <c r="M307" s="35">
        <v>0</v>
      </c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137</v>
      </c>
      <c r="G308" s="101" t="s">
        <v>438</v>
      </c>
      <c r="H308" s="110"/>
      <c r="I308" s="110"/>
      <c r="J308" s="35">
        <v>15272426.893891403</v>
      </c>
      <c r="K308" s="35">
        <v>582344.66945385642</v>
      </c>
      <c r="L308" s="35">
        <v>5279170.858943522</v>
      </c>
      <c r="M308" s="35">
        <v>2714932.7240017327</v>
      </c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138</v>
      </c>
      <c r="G309" s="101" t="s">
        <v>438</v>
      </c>
      <c r="H309" s="110"/>
      <c r="I309" s="110"/>
      <c r="J309" s="35">
        <v>1544112.575676091</v>
      </c>
      <c r="K309" s="35">
        <v>5284050.4964611931</v>
      </c>
      <c r="L309" s="35">
        <v>436263.57364726916</v>
      </c>
      <c r="M309" s="35">
        <v>2704219.8642422459</v>
      </c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139</v>
      </c>
      <c r="G310" s="101" t="s">
        <v>438</v>
      </c>
      <c r="H310" s="110"/>
      <c r="I310" s="110"/>
      <c r="J310" s="35">
        <v>3100832.1843072716</v>
      </c>
      <c r="K310" s="35">
        <v>0</v>
      </c>
      <c r="L310" s="35">
        <v>5282047.5418532779</v>
      </c>
      <c r="M310" s="35">
        <v>541261.35383944947</v>
      </c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140</v>
      </c>
      <c r="G311" s="101" t="s">
        <v>438</v>
      </c>
      <c r="H311" s="110"/>
      <c r="I311" s="110"/>
      <c r="J311" s="35">
        <v>0</v>
      </c>
      <c r="K311" s="35">
        <v>0</v>
      </c>
      <c r="L311" s="35">
        <v>0</v>
      </c>
      <c r="M311" s="35">
        <v>0</v>
      </c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141</v>
      </c>
      <c r="G312" s="101" t="s">
        <v>438</v>
      </c>
      <c r="H312" s="110"/>
      <c r="I312" s="110"/>
      <c r="J312" s="35">
        <v>0</v>
      </c>
      <c r="K312" s="35">
        <v>0</v>
      </c>
      <c r="L312" s="35">
        <v>0</v>
      </c>
      <c r="M312" s="35">
        <v>0</v>
      </c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142</v>
      </c>
      <c r="G313" s="101" t="s">
        <v>438</v>
      </c>
      <c r="H313" s="110"/>
      <c r="I313" s="110"/>
      <c r="J313" s="35">
        <v>0</v>
      </c>
      <c r="K313" s="35">
        <v>0</v>
      </c>
      <c r="L313" s="35">
        <v>0</v>
      </c>
      <c r="M313" s="35">
        <v>0</v>
      </c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143</v>
      </c>
      <c r="G314" s="101" t="s">
        <v>438</v>
      </c>
      <c r="H314" s="110"/>
      <c r="I314" s="110"/>
      <c r="J314" s="35">
        <v>0</v>
      </c>
      <c r="K314" s="35">
        <v>0</v>
      </c>
      <c r="L314" s="35">
        <v>0</v>
      </c>
      <c r="M314" s="35">
        <v>0</v>
      </c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144</v>
      </c>
      <c r="G315" s="101" t="s">
        <v>438</v>
      </c>
      <c r="H315" s="110"/>
      <c r="I315" s="110"/>
      <c r="J315" s="35">
        <v>0</v>
      </c>
      <c r="K315" s="35">
        <v>0</v>
      </c>
      <c r="L315" s="35">
        <v>0</v>
      </c>
      <c r="M315" s="35">
        <v>0</v>
      </c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145</v>
      </c>
      <c r="G316" s="101" t="s">
        <v>438</v>
      </c>
      <c r="H316" s="110"/>
      <c r="I316" s="110"/>
      <c r="J316" s="35">
        <v>0</v>
      </c>
      <c r="K316" s="35">
        <v>0</v>
      </c>
      <c r="L316" s="35">
        <v>0</v>
      </c>
      <c r="M316" s="35">
        <v>0</v>
      </c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146</v>
      </c>
      <c r="G317" s="101" t="s">
        <v>438</v>
      </c>
      <c r="H317" s="110"/>
      <c r="I317" s="110"/>
      <c r="J317" s="35">
        <v>0</v>
      </c>
      <c r="K317" s="35">
        <v>0</v>
      </c>
      <c r="L317" s="35">
        <v>0</v>
      </c>
      <c r="M317" s="35">
        <v>0</v>
      </c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147</v>
      </c>
      <c r="G318" s="101" t="s">
        <v>438</v>
      </c>
      <c r="H318" s="110"/>
      <c r="I318" s="110"/>
      <c r="J318" s="35">
        <v>0</v>
      </c>
      <c r="K318" s="35">
        <v>0</v>
      </c>
      <c r="L318" s="35">
        <v>0</v>
      </c>
      <c r="M318" s="35">
        <v>0</v>
      </c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148</v>
      </c>
      <c r="G319" s="101" t="s">
        <v>438</v>
      </c>
      <c r="H319" s="110"/>
      <c r="I319" s="110"/>
      <c r="J319" s="35">
        <v>0</v>
      </c>
      <c r="K319" s="35">
        <v>0</v>
      </c>
      <c r="L319" s="35">
        <v>0</v>
      </c>
      <c r="M319" s="35">
        <v>0</v>
      </c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149</v>
      </c>
      <c r="G320" s="101" t="s">
        <v>438</v>
      </c>
      <c r="H320" s="110"/>
      <c r="I320" s="110"/>
      <c r="J320" s="35">
        <v>0</v>
      </c>
      <c r="K320" s="35">
        <v>0</v>
      </c>
      <c r="L320" s="35">
        <v>0</v>
      </c>
      <c r="M320" s="35">
        <v>0</v>
      </c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150</v>
      </c>
      <c r="G321" s="101" t="s">
        <v>438</v>
      </c>
      <c r="H321" s="110"/>
      <c r="I321" s="110"/>
      <c r="J321" s="35">
        <v>0</v>
      </c>
      <c r="K321" s="35">
        <v>0</v>
      </c>
      <c r="L321" s="35">
        <v>0</v>
      </c>
      <c r="M321" s="35">
        <v>0</v>
      </c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151</v>
      </c>
      <c r="G322" s="101" t="s">
        <v>438</v>
      </c>
      <c r="H322" s="110"/>
      <c r="I322" s="110"/>
      <c r="J322" s="35">
        <v>0</v>
      </c>
      <c r="K322" s="35">
        <v>0</v>
      </c>
      <c r="L322" s="35">
        <v>0</v>
      </c>
      <c r="M322" s="35">
        <v>0</v>
      </c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152</v>
      </c>
      <c r="G323" s="101" t="s">
        <v>438</v>
      </c>
      <c r="H323" s="110"/>
      <c r="I323" s="110"/>
      <c r="J323" s="35">
        <v>0</v>
      </c>
      <c r="K323" s="35">
        <v>0</v>
      </c>
      <c r="L323" s="35">
        <v>0</v>
      </c>
      <c r="M323" s="35">
        <v>0</v>
      </c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153</v>
      </c>
      <c r="G324" s="101" t="s">
        <v>438</v>
      </c>
      <c r="H324" s="110"/>
      <c r="I324" s="110"/>
      <c r="J324" s="35">
        <v>0</v>
      </c>
      <c r="K324" s="35">
        <v>0</v>
      </c>
      <c r="L324" s="35">
        <v>0</v>
      </c>
      <c r="M324" s="35">
        <v>0</v>
      </c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154</v>
      </c>
      <c r="G325" s="101" t="s">
        <v>438</v>
      </c>
      <c r="H325" s="110"/>
      <c r="I325" s="110"/>
      <c r="J325" s="35">
        <v>0</v>
      </c>
      <c r="K325" s="35">
        <v>0</v>
      </c>
      <c r="L325" s="35">
        <v>0</v>
      </c>
      <c r="M325" s="35">
        <v>0</v>
      </c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155</v>
      </c>
      <c r="G326" s="101" t="s">
        <v>438</v>
      </c>
      <c r="H326" s="110"/>
      <c r="I326" s="110"/>
      <c r="J326" s="35">
        <v>0</v>
      </c>
      <c r="K326" s="35">
        <v>0</v>
      </c>
      <c r="L326" s="35">
        <v>0</v>
      </c>
      <c r="M326" s="35">
        <v>0</v>
      </c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156</v>
      </c>
      <c r="G327" s="101" t="s">
        <v>438</v>
      </c>
      <c r="H327" s="110"/>
      <c r="I327" s="110"/>
      <c r="J327" s="35">
        <v>0</v>
      </c>
      <c r="K327" s="35">
        <v>0</v>
      </c>
      <c r="L327" s="35">
        <v>0</v>
      </c>
      <c r="M327" s="35">
        <v>0</v>
      </c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157</v>
      </c>
      <c r="G328" s="101" t="s">
        <v>438</v>
      </c>
      <c r="H328" s="110"/>
      <c r="I328" s="110"/>
      <c r="J328" s="35">
        <v>0</v>
      </c>
      <c r="K328" s="35">
        <v>0</v>
      </c>
      <c r="L328" s="35">
        <v>0</v>
      </c>
      <c r="M328" s="35">
        <v>0</v>
      </c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158</v>
      </c>
      <c r="G329" s="101" t="s">
        <v>438</v>
      </c>
      <c r="H329" s="110"/>
      <c r="I329" s="110"/>
      <c r="J329" s="35">
        <v>0</v>
      </c>
      <c r="K329" s="35">
        <v>0</v>
      </c>
      <c r="L329" s="35">
        <v>0</v>
      </c>
      <c r="M329" s="35">
        <v>0</v>
      </c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159</v>
      </c>
      <c r="G330" s="101" t="s">
        <v>438</v>
      </c>
      <c r="H330" s="110"/>
      <c r="I330" s="110"/>
      <c r="J330" s="35">
        <v>0</v>
      </c>
      <c r="K330" s="35">
        <v>0</v>
      </c>
      <c r="L330" s="35">
        <v>0</v>
      </c>
      <c r="M330" s="35">
        <v>0</v>
      </c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160</v>
      </c>
      <c r="G331" s="101" t="s">
        <v>438</v>
      </c>
      <c r="H331" s="110"/>
      <c r="I331" s="110"/>
      <c r="J331" s="35">
        <v>0</v>
      </c>
      <c r="K331" s="35">
        <v>0</v>
      </c>
      <c r="L331" s="35">
        <v>0</v>
      </c>
      <c r="M331" s="35">
        <v>0</v>
      </c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161</v>
      </c>
      <c r="G332" s="101" t="s">
        <v>438</v>
      </c>
      <c r="H332" s="110"/>
      <c r="I332" s="110"/>
      <c r="J332" s="35">
        <v>0</v>
      </c>
      <c r="K332" s="35">
        <v>0</v>
      </c>
      <c r="L332" s="35">
        <v>0</v>
      </c>
      <c r="M332" s="35">
        <v>0</v>
      </c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162</v>
      </c>
      <c r="G333" s="101" t="s">
        <v>438</v>
      </c>
      <c r="H333" s="110"/>
      <c r="I333" s="110"/>
      <c r="J333" s="35">
        <v>0</v>
      </c>
      <c r="K333" s="35">
        <v>0</v>
      </c>
      <c r="L333" s="35">
        <v>0</v>
      </c>
      <c r="M333" s="35">
        <v>0</v>
      </c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163</v>
      </c>
      <c r="G334" s="101" t="s">
        <v>438</v>
      </c>
      <c r="H334" s="110"/>
      <c r="I334" s="110"/>
      <c r="J334" s="35">
        <v>0</v>
      </c>
      <c r="K334" s="35">
        <v>0</v>
      </c>
      <c r="L334" s="35">
        <v>0</v>
      </c>
      <c r="M334" s="35">
        <v>0</v>
      </c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164</v>
      </c>
      <c r="G335" s="101" t="s">
        <v>438</v>
      </c>
      <c r="H335" s="110"/>
      <c r="I335" s="110"/>
      <c r="J335" s="35">
        <v>0</v>
      </c>
      <c r="K335" s="35">
        <v>0</v>
      </c>
      <c r="L335" s="35">
        <v>0</v>
      </c>
      <c r="M335" s="35">
        <v>0</v>
      </c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189</v>
      </c>
      <c r="G336" s="101" t="s">
        <v>438</v>
      </c>
      <c r="H336" s="110"/>
      <c r="I336" s="110"/>
      <c r="J336" s="35">
        <v>0</v>
      </c>
      <c r="K336" s="35">
        <v>0</v>
      </c>
      <c r="L336" s="35">
        <v>0</v>
      </c>
      <c r="M336" s="35">
        <v>0</v>
      </c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728</v>
      </c>
      <c r="G337" s="101" t="s">
        <v>438</v>
      </c>
      <c r="H337" s="110"/>
      <c r="I337" s="110"/>
      <c r="J337" s="35">
        <v>0</v>
      </c>
      <c r="K337" s="35">
        <v>0</v>
      </c>
      <c r="L337" s="35">
        <v>0</v>
      </c>
      <c r="M337" s="35">
        <v>0</v>
      </c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727</v>
      </c>
      <c r="G338" s="101" t="s">
        <v>438</v>
      </c>
      <c r="H338" s="110"/>
      <c r="I338" s="110"/>
      <c r="J338" s="35">
        <v>0</v>
      </c>
      <c r="K338" s="35">
        <v>0</v>
      </c>
      <c r="L338" s="35">
        <v>0</v>
      </c>
      <c r="M338" s="35">
        <v>0</v>
      </c>
      <c r="N338" s="65"/>
      <c r="O338" s="39"/>
    </row>
    <row r="339" spans="1:15" x14ac:dyDescent="0.25">
      <c r="A339" s="39"/>
      <c r="B339" s="39"/>
      <c r="C339" s="39"/>
      <c r="D339" s="39"/>
      <c r="E339" s="39"/>
      <c r="F339" s="103" t="s">
        <v>755</v>
      </c>
      <c r="G339" s="103" t="s">
        <v>438</v>
      </c>
      <c r="H339" s="126"/>
      <c r="I339" s="126"/>
      <c r="J339" s="164"/>
      <c r="K339" s="164"/>
      <c r="L339" s="164"/>
      <c r="M339" s="16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39"/>
      <c r="G340" s="39"/>
      <c r="H340" s="65"/>
      <c r="I340" s="65"/>
      <c r="J340" s="65"/>
      <c r="K340" s="65"/>
      <c r="L340" s="65"/>
      <c r="M340" s="65"/>
      <c r="N340" s="65"/>
      <c r="O340" s="39"/>
    </row>
    <row r="341" spans="1:15" x14ac:dyDescent="0.25">
      <c r="A341" s="39"/>
      <c r="B341" s="39"/>
      <c r="C341" s="96" t="s">
        <v>764</v>
      </c>
      <c r="D341" s="96"/>
      <c r="E341" s="96"/>
      <c r="F341" s="96"/>
      <c r="G341" s="96"/>
      <c r="H341" s="97"/>
      <c r="I341" s="97"/>
      <c r="J341" s="97"/>
      <c r="K341" s="97"/>
      <c r="L341" s="97"/>
      <c r="M341" s="97"/>
      <c r="N341" s="97"/>
      <c r="O341" s="96"/>
    </row>
    <row r="342" spans="1:15" x14ac:dyDescent="0.25">
      <c r="A342" s="39"/>
      <c r="B342" s="39"/>
      <c r="C342" s="95"/>
      <c r="D342" s="95"/>
      <c r="E342" s="39"/>
      <c r="F342" s="39"/>
      <c r="G342" s="39"/>
      <c r="H342" s="65"/>
      <c r="I342" s="65"/>
      <c r="J342" s="65"/>
      <c r="K342" s="65"/>
      <c r="L342" s="65"/>
      <c r="M342" s="65"/>
      <c r="N342" s="65"/>
      <c r="O342" s="39"/>
    </row>
    <row r="343" spans="1:15" x14ac:dyDescent="0.25">
      <c r="A343" s="39"/>
      <c r="B343" s="39"/>
      <c r="C343" s="39"/>
      <c r="D343" s="95" t="s">
        <v>463</v>
      </c>
      <c r="E343" s="39"/>
      <c r="F343" s="39"/>
      <c r="G343" s="39"/>
      <c r="H343" s="65"/>
      <c r="I343" s="65"/>
      <c r="J343" s="65"/>
      <c r="K343" s="65"/>
      <c r="L343" s="65"/>
      <c r="M343" s="65"/>
      <c r="N343" s="65"/>
      <c r="O343" s="39"/>
    </row>
    <row r="344" spans="1:15" x14ac:dyDescent="0.25">
      <c r="A344" s="39"/>
      <c r="B344" s="39"/>
      <c r="C344" s="39"/>
      <c r="D344" s="95" t="s">
        <v>464</v>
      </c>
      <c r="E344" s="39"/>
      <c r="F344" s="39"/>
      <c r="G344" s="39"/>
      <c r="H344" s="65"/>
      <c r="I344" s="65"/>
      <c r="J344" s="65"/>
      <c r="K344" s="65"/>
      <c r="L344" s="65"/>
      <c r="M344" s="65"/>
      <c r="N344" s="65"/>
      <c r="O344" s="39"/>
    </row>
    <row r="345" spans="1:15" x14ac:dyDescent="0.25">
      <c r="A345" s="39"/>
      <c r="B345" s="39"/>
      <c r="C345" s="39"/>
      <c r="D345" s="95"/>
      <c r="E345" s="39"/>
      <c r="F345" s="39"/>
      <c r="G345" s="39"/>
      <c r="H345" s="65"/>
      <c r="I345" s="65"/>
      <c r="J345" s="65"/>
      <c r="K345" s="65"/>
      <c r="L345" s="65"/>
      <c r="M345" s="65"/>
      <c r="N345" s="65"/>
      <c r="O345" s="39"/>
    </row>
    <row r="346" spans="1:15" x14ac:dyDescent="0.25">
      <c r="A346" s="107"/>
      <c r="B346" s="39"/>
      <c r="C346" s="39"/>
      <c r="D346" s="95"/>
      <c r="E346" s="98" t="s">
        <v>167</v>
      </c>
      <c r="F346" s="39"/>
      <c r="G346" s="39"/>
      <c r="H346" s="65"/>
      <c r="I346" s="112" t="s">
        <v>314</v>
      </c>
      <c r="J346" s="65"/>
      <c r="K346" s="65"/>
      <c r="L346" s="65"/>
      <c r="M346" s="65"/>
      <c r="N346" s="65"/>
      <c r="O346" s="101" t="s">
        <v>603</v>
      </c>
    </row>
    <row r="347" spans="1:15" x14ac:dyDescent="0.25">
      <c r="A347" s="39"/>
      <c r="B347" s="39"/>
      <c r="C347" s="39"/>
      <c r="D347" s="39"/>
      <c r="E347" s="95"/>
      <c r="F347" s="99" t="s">
        <v>165</v>
      </c>
      <c r="G347" s="99" t="s">
        <v>438</v>
      </c>
      <c r="H347" s="34">
        <v>3833598.9292598576</v>
      </c>
      <c r="I347" s="110"/>
      <c r="J347" s="110"/>
      <c r="K347" s="110"/>
      <c r="L347" s="110"/>
      <c r="M347" s="110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41</v>
      </c>
      <c r="G348" s="101" t="s">
        <v>438</v>
      </c>
      <c r="H348" s="35">
        <v>0</v>
      </c>
      <c r="I348" s="110"/>
      <c r="J348" s="110"/>
      <c r="K348" s="110"/>
      <c r="L348" s="110"/>
      <c r="M348" s="110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40</v>
      </c>
      <c r="G349" s="101" t="s">
        <v>438</v>
      </c>
      <c r="H349" s="35">
        <v>5609437.7182151098</v>
      </c>
      <c r="I349" s="110"/>
      <c r="J349" s="110"/>
      <c r="K349" s="110"/>
      <c r="L349" s="110"/>
      <c r="M349" s="110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3" t="s">
        <v>166</v>
      </c>
      <c r="G350" s="103" t="s">
        <v>438</v>
      </c>
      <c r="H350" s="36">
        <v>10180000</v>
      </c>
      <c r="I350" s="110"/>
      <c r="J350" s="110"/>
      <c r="K350" s="110"/>
      <c r="L350" s="110"/>
      <c r="M350" s="110"/>
      <c r="N350" s="65"/>
      <c r="O350" s="39"/>
    </row>
    <row r="351" spans="1:15" x14ac:dyDescent="0.25">
      <c r="A351" s="39"/>
      <c r="B351" s="39"/>
      <c r="C351" s="39"/>
      <c r="D351" s="39"/>
      <c r="E351" s="39"/>
      <c r="F351" s="39"/>
      <c r="G351" s="39"/>
      <c r="H351" s="65"/>
      <c r="I351" s="65"/>
      <c r="J351" s="65"/>
      <c r="K351" s="65"/>
      <c r="L351" s="65"/>
      <c r="M351" s="65"/>
      <c r="N351" s="65"/>
      <c r="O351" s="39"/>
    </row>
    <row r="352" spans="1:15" x14ac:dyDescent="0.25">
      <c r="A352" s="39"/>
      <c r="B352" s="39"/>
      <c r="C352" s="96" t="s">
        <v>765</v>
      </c>
      <c r="D352" s="96"/>
      <c r="E352" s="96"/>
      <c r="F352" s="96"/>
      <c r="G352" s="96"/>
      <c r="H352" s="97"/>
      <c r="I352" s="97"/>
      <c r="J352" s="97"/>
      <c r="K352" s="97"/>
      <c r="L352" s="97"/>
      <c r="M352" s="97"/>
      <c r="N352" s="97"/>
      <c r="O352" s="96"/>
    </row>
    <row r="353" spans="1:15" x14ac:dyDescent="0.25">
      <c r="A353" s="39"/>
      <c r="B353" s="39"/>
      <c r="C353" s="95"/>
      <c r="D353" s="95"/>
      <c r="E353" s="39"/>
      <c r="F353" s="39"/>
      <c r="G353" s="39"/>
      <c r="H353" s="65"/>
      <c r="I353" s="65"/>
      <c r="J353" s="65"/>
      <c r="K353" s="65"/>
      <c r="L353" s="65"/>
      <c r="M353" s="65"/>
      <c r="N353" s="65"/>
      <c r="O353" s="39"/>
    </row>
    <row r="354" spans="1:15" x14ac:dyDescent="0.25">
      <c r="A354" s="39"/>
      <c r="B354" s="39"/>
      <c r="C354" s="39"/>
      <c r="D354" s="95" t="s">
        <v>465</v>
      </c>
      <c r="E354" s="39"/>
      <c r="F354" s="39"/>
      <c r="G354" s="39"/>
      <c r="H354" s="65"/>
      <c r="I354" s="65"/>
      <c r="J354" s="65"/>
      <c r="K354" s="65"/>
      <c r="L354" s="65"/>
      <c r="M354" s="65"/>
      <c r="N354" s="65"/>
      <c r="O354" s="39"/>
    </row>
    <row r="355" spans="1:15" x14ac:dyDescent="0.25">
      <c r="A355" s="39"/>
      <c r="B355" s="39"/>
      <c r="C355" s="39"/>
      <c r="D355" s="95" t="s">
        <v>670</v>
      </c>
      <c r="E355" s="39"/>
      <c r="F355" s="39"/>
      <c r="G355" s="39"/>
      <c r="H355" s="65"/>
      <c r="I355" s="65"/>
      <c r="J355" s="65"/>
      <c r="K355" s="65"/>
      <c r="L355" s="65"/>
      <c r="M355" s="65"/>
      <c r="N355" s="65"/>
      <c r="O355" s="39"/>
    </row>
    <row r="356" spans="1:15" x14ac:dyDescent="0.25">
      <c r="A356" s="39"/>
      <c r="B356" s="39"/>
      <c r="C356" s="39"/>
      <c r="D356" s="95"/>
      <c r="E356" s="39"/>
      <c r="F356" s="39"/>
      <c r="G356" s="39"/>
      <c r="H356" s="65"/>
      <c r="I356" s="65"/>
      <c r="J356" s="65"/>
      <c r="K356" s="65"/>
      <c r="L356" s="65"/>
      <c r="M356" s="65"/>
      <c r="N356" s="65"/>
      <c r="O356" s="39"/>
    </row>
    <row r="357" spans="1:15" x14ac:dyDescent="0.25">
      <c r="A357" s="107"/>
      <c r="B357" s="39"/>
      <c r="C357" s="39"/>
      <c r="D357" s="95"/>
      <c r="E357" s="98" t="s">
        <v>427</v>
      </c>
      <c r="F357" s="39"/>
      <c r="G357" s="39"/>
      <c r="H357" s="65"/>
      <c r="I357" s="112" t="s">
        <v>314</v>
      </c>
      <c r="J357" s="65"/>
      <c r="K357" s="65"/>
      <c r="L357" s="65"/>
      <c r="M357" s="65"/>
      <c r="N357" s="65"/>
      <c r="O357" s="101" t="s">
        <v>593</v>
      </c>
    </row>
    <row r="358" spans="1:15" x14ac:dyDescent="0.25">
      <c r="A358" s="39"/>
      <c r="B358" s="39"/>
      <c r="C358" s="39"/>
      <c r="D358" s="39"/>
      <c r="E358" s="95"/>
      <c r="F358" s="99" t="s">
        <v>165</v>
      </c>
      <c r="G358" s="99" t="s">
        <v>439</v>
      </c>
      <c r="H358" s="34">
        <v>166879895.26277938</v>
      </c>
      <c r="I358" s="110"/>
      <c r="J358" s="110"/>
      <c r="K358" s="110"/>
      <c r="L358" s="110"/>
      <c r="M358" s="110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168</v>
      </c>
      <c r="G359" s="101" t="s">
        <v>439</v>
      </c>
      <c r="H359" s="35">
        <v>50467924.447354972</v>
      </c>
      <c r="I359" s="110"/>
      <c r="J359" s="110"/>
      <c r="K359" s="110"/>
      <c r="L359" s="110"/>
      <c r="M359" s="110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40</v>
      </c>
      <c r="G360" s="101" t="s">
        <v>439</v>
      </c>
      <c r="H360" s="35">
        <v>195577295.74351519</v>
      </c>
      <c r="I360" s="110"/>
      <c r="J360" s="110"/>
      <c r="K360" s="110"/>
      <c r="L360" s="110"/>
      <c r="M360" s="110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37</v>
      </c>
      <c r="G361" s="101" t="s">
        <v>439</v>
      </c>
      <c r="H361" s="35">
        <v>187024482.49234807</v>
      </c>
      <c r="I361" s="110"/>
      <c r="J361" s="110"/>
      <c r="K361" s="110"/>
      <c r="L361" s="110"/>
      <c r="M361" s="110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3" t="s">
        <v>35</v>
      </c>
      <c r="G362" s="103" t="s">
        <v>439</v>
      </c>
      <c r="H362" s="36">
        <v>349083944.99724865</v>
      </c>
      <c r="I362" s="110"/>
      <c r="J362" s="110"/>
      <c r="K362" s="110"/>
      <c r="L362" s="110"/>
      <c r="M362" s="110"/>
      <c r="N362" s="65"/>
      <c r="O362" s="39"/>
    </row>
    <row r="363" spans="1:15" x14ac:dyDescent="0.25">
      <c r="A363" s="39"/>
      <c r="B363" s="39"/>
      <c r="C363" s="39"/>
      <c r="D363" s="39"/>
      <c r="E363" s="39"/>
      <c r="F363" s="39"/>
      <c r="G363" s="39"/>
      <c r="H363" s="65"/>
      <c r="I363" s="65"/>
      <c r="J363" s="65"/>
      <c r="K363" s="65"/>
      <c r="L363" s="65"/>
      <c r="M363" s="65"/>
      <c r="N363" s="65"/>
      <c r="O363" s="39"/>
    </row>
    <row r="364" spans="1:15" x14ac:dyDescent="0.25">
      <c r="A364" s="39"/>
      <c r="B364" s="39"/>
      <c r="C364" s="96" t="s">
        <v>766</v>
      </c>
      <c r="D364" s="96"/>
      <c r="E364" s="96"/>
      <c r="F364" s="96"/>
      <c r="G364" s="96"/>
      <c r="H364" s="97"/>
      <c r="I364" s="97"/>
      <c r="J364" s="97"/>
      <c r="K364" s="97"/>
      <c r="L364" s="97"/>
      <c r="M364" s="97"/>
      <c r="N364" s="97"/>
      <c r="O364" s="96"/>
    </row>
    <row r="365" spans="1:15" x14ac:dyDescent="0.25">
      <c r="A365" s="39"/>
      <c r="B365" s="39"/>
      <c r="C365" s="95"/>
      <c r="D365" s="95"/>
      <c r="E365" s="39"/>
      <c r="F365" s="39"/>
      <c r="G365" s="39"/>
      <c r="H365" s="65"/>
      <c r="I365" s="65"/>
      <c r="J365" s="65"/>
      <c r="K365" s="65"/>
      <c r="L365" s="65"/>
      <c r="M365" s="65"/>
      <c r="N365" s="65"/>
      <c r="O365" s="39"/>
    </row>
    <row r="366" spans="1:15" x14ac:dyDescent="0.25">
      <c r="A366" s="39"/>
      <c r="B366" s="39"/>
      <c r="C366" s="39"/>
      <c r="D366" s="95" t="s">
        <v>466</v>
      </c>
      <c r="E366" s="39"/>
      <c r="F366" s="39"/>
      <c r="G366" s="39"/>
      <c r="H366" s="65"/>
      <c r="I366" s="65"/>
      <c r="J366" s="65"/>
      <c r="K366" s="65"/>
      <c r="L366" s="65"/>
      <c r="M366" s="65"/>
      <c r="N366" s="65"/>
      <c r="O366" s="39"/>
    </row>
    <row r="367" spans="1:15" x14ac:dyDescent="0.25">
      <c r="A367" s="39"/>
      <c r="B367" s="39"/>
      <c r="C367" s="39"/>
      <c r="D367" s="95" t="s">
        <v>467</v>
      </c>
      <c r="E367" s="39"/>
      <c r="F367" s="39"/>
      <c r="G367" s="39"/>
      <c r="H367" s="65"/>
      <c r="I367" s="65"/>
      <c r="J367" s="65"/>
      <c r="K367" s="65"/>
      <c r="L367" s="65"/>
      <c r="M367" s="65"/>
      <c r="N367" s="65"/>
      <c r="O367" s="39"/>
    </row>
    <row r="368" spans="1:15" x14ac:dyDescent="0.25">
      <c r="A368" s="39"/>
      <c r="B368" s="39"/>
      <c r="C368" s="39"/>
      <c r="D368" s="95"/>
      <c r="E368" s="39"/>
      <c r="F368" s="39"/>
      <c r="G368" s="39"/>
      <c r="H368" s="65"/>
      <c r="I368" s="65"/>
      <c r="J368" s="65"/>
      <c r="K368" s="65"/>
      <c r="L368" s="65"/>
      <c r="M368" s="65"/>
      <c r="N368" s="65"/>
      <c r="O368" s="39"/>
    </row>
    <row r="369" spans="1:15" x14ac:dyDescent="0.25">
      <c r="A369" s="107"/>
      <c r="B369" s="39"/>
      <c r="C369" s="39"/>
      <c r="D369" s="39"/>
      <c r="E369" s="101" t="s">
        <v>169</v>
      </c>
      <c r="F369" s="39"/>
      <c r="G369" s="101" t="s">
        <v>44</v>
      </c>
      <c r="H369" s="33">
        <v>0.20864462848279788</v>
      </c>
      <c r="I369" s="111" t="s">
        <v>314</v>
      </c>
      <c r="J369" s="115"/>
      <c r="K369" s="115"/>
      <c r="L369" s="115"/>
      <c r="M369" s="115"/>
      <c r="N369" s="65"/>
      <c r="O369" s="101" t="s">
        <v>570</v>
      </c>
    </row>
    <row r="370" spans="1:15" x14ac:dyDescent="0.25">
      <c r="A370" s="39"/>
      <c r="B370" s="39"/>
      <c r="C370" s="39"/>
      <c r="D370" s="39"/>
      <c r="E370" s="95"/>
      <c r="F370" s="39"/>
      <c r="G370" s="39"/>
      <c r="H370" s="65"/>
      <c r="I370" s="65"/>
      <c r="J370" s="65"/>
      <c r="K370" s="65"/>
      <c r="L370" s="65"/>
      <c r="M370" s="65"/>
      <c r="N370" s="65"/>
      <c r="O370" s="39"/>
    </row>
    <row r="371" spans="1:15" x14ac:dyDescent="0.25">
      <c r="A371" s="39"/>
      <c r="B371" s="39"/>
      <c r="C371" s="96" t="s">
        <v>767</v>
      </c>
      <c r="D371" s="96"/>
      <c r="E371" s="96"/>
      <c r="F371" s="96"/>
      <c r="G371" s="96"/>
      <c r="H371" s="97"/>
      <c r="I371" s="97"/>
      <c r="J371" s="97"/>
      <c r="K371" s="97"/>
      <c r="L371" s="97"/>
      <c r="M371" s="97"/>
      <c r="N371" s="97"/>
      <c r="O371" s="96"/>
    </row>
    <row r="372" spans="1:15" x14ac:dyDescent="0.25">
      <c r="A372" s="39"/>
      <c r="B372" s="39"/>
      <c r="C372" s="95"/>
      <c r="D372" s="95"/>
      <c r="E372" s="39"/>
      <c r="F372" s="39"/>
      <c r="G372" s="39"/>
      <c r="H372" s="65"/>
      <c r="I372" s="65"/>
      <c r="J372" s="65"/>
      <c r="K372" s="65"/>
      <c r="L372" s="65"/>
      <c r="M372" s="65"/>
      <c r="N372" s="65"/>
      <c r="O372" s="39"/>
    </row>
    <row r="373" spans="1:15" x14ac:dyDescent="0.25">
      <c r="A373" s="39"/>
      <c r="B373" s="39"/>
      <c r="C373" s="39"/>
      <c r="D373" s="95" t="s">
        <v>422</v>
      </c>
      <c r="E373" s="39"/>
      <c r="F373" s="39"/>
      <c r="G373" s="39"/>
      <c r="H373" s="65"/>
      <c r="I373" s="65"/>
      <c r="J373" s="65"/>
      <c r="K373" s="65"/>
      <c r="L373" s="65"/>
      <c r="M373" s="65"/>
      <c r="N373" s="65"/>
      <c r="O373" s="39"/>
    </row>
    <row r="374" spans="1:15" x14ac:dyDescent="0.25">
      <c r="A374" s="39"/>
      <c r="B374" s="39"/>
      <c r="C374" s="39"/>
      <c r="D374" s="95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107"/>
      <c r="B375" s="39"/>
      <c r="C375" s="39"/>
      <c r="D375" s="95"/>
      <c r="E375" s="98" t="s">
        <v>170</v>
      </c>
      <c r="F375" s="39"/>
      <c r="G375" s="39"/>
      <c r="H375" s="65"/>
      <c r="I375" s="112" t="s">
        <v>314</v>
      </c>
      <c r="J375" s="65"/>
      <c r="K375" s="65"/>
      <c r="L375" s="65"/>
      <c r="M375" s="65"/>
      <c r="N375" s="65"/>
      <c r="O375" s="124" t="s">
        <v>594</v>
      </c>
    </row>
    <row r="376" spans="1:15" x14ac:dyDescent="0.25">
      <c r="A376" s="39"/>
      <c r="B376" s="39"/>
      <c r="C376" s="39"/>
      <c r="D376" s="39"/>
      <c r="E376" s="95"/>
      <c r="F376" s="99" t="s">
        <v>171</v>
      </c>
      <c r="G376" s="99" t="s">
        <v>439</v>
      </c>
      <c r="H376" s="34">
        <v>419826929.15108359</v>
      </c>
      <c r="I376" s="110"/>
      <c r="J376" s="110"/>
      <c r="K376" s="110"/>
      <c r="L376" s="110"/>
      <c r="M376" s="110"/>
      <c r="N376" s="65"/>
      <c r="O376" s="39"/>
    </row>
    <row r="377" spans="1:15" x14ac:dyDescent="0.25">
      <c r="A377" s="39"/>
      <c r="B377" s="39"/>
      <c r="C377" s="39"/>
      <c r="D377" s="39"/>
      <c r="E377" s="39"/>
      <c r="F377" s="101" t="s">
        <v>172</v>
      </c>
      <c r="G377" s="101" t="s">
        <v>439</v>
      </c>
      <c r="H377" s="35">
        <v>413099999.99999994</v>
      </c>
      <c r="I377" s="110"/>
      <c r="J377" s="110"/>
      <c r="K377" s="110"/>
      <c r="L377" s="110"/>
      <c r="M377" s="110"/>
      <c r="N377" s="65"/>
      <c r="O377" s="39"/>
    </row>
    <row r="378" spans="1:15" x14ac:dyDescent="0.25">
      <c r="A378" s="39"/>
      <c r="B378" s="39"/>
      <c r="C378" s="39"/>
      <c r="D378" s="39"/>
      <c r="E378" s="39"/>
      <c r="F378" s="103" t="s">
        <v>173</v>
      </c>
      <c r="G378" s="103" t="s">
        <v>439</v>
      </c>
      <c r="H378" s="36">
        <v>378263000</v>
      </c>
      <c r="I378" s="110"/>
      <c r="J378" s="110"/>
      <c r="K378" s="110"/>
      <c r="L378" s="110"/>
      <c r="M378" s="110"/>
      <c r="N378" s="65"/>
      <c r="O378" s="39"/>
    </row>
    <row r="379" spans="1:15" x14ac:dyDescent="0.25">
      <c r="A379" s="39"/>
      <c r="B379" s="39"/>
      <c r="C379" s="39"/>
      <c r="D379" s="39"/>
      <c r="E379" s="39"/>
      <c r="F379" s="39"/>
      <c r="G379" s="39"/>
      <c r="H379" s="65"/>
      <c r="I379" s="65"/>
      <c r="J379" s="65"/>
      <c r="K379" s="65"/>
      <c r="L379" s="65"/>
      <c r="M379" s="65"/>
      <c r="N379" s="65"/>
      <c r="O379" s="39"/>
    </row>
    <row r="380" spans="1:15" x14ac:dyDescent="0.25">
      <c r="A380" s="39"/>
      <c r="B380" s="39"/>
      <c r="C380" s="96" t="s">
        <v>768</v>
      </c>
      <c r="D380" s="96"/>
      <c r="E380" s="96"/>
      <c r="F380" s="96"/>
      <c r="G380" s="96"/>
      <c r="H380" s="97"/>
      <c r="I380" s="97"/>
      <c r="J380" s="97"/>
      <c r="K380" s="97"/>
      <c r="L380" s="97"/>
      <c r="M380" s="97"/>
      <c r="N380" s="97"/>
      <c r="O380" s="96"/>
    </row>
    <row r="381" spans="1:15" x14ac:dyDescent="0.25">
      <c r="A381" s="39"/>
      <c r="B381" s="39"/>
      <c r="C381" s="95"/>
      <c r="D381" s="95"/>
      <c r="E381" s="39"/>
      <c r="F381" s="39"/>
      <c r="G381" s="39"/>
      <c r="H381" s="65"/>
      <c r="I381" s="65"/>
      <c r="J381" s="65"/>
      <c r="K381" s="65"/>
      <c r="L381" s="65"/>
      <c r="M381" s="65"/>
      <c r="N381" s="65"/>
      <c r="O381" s="39"/>
    </row>
    <row r="382" spans="1:15" x14ac:dyDescent="0.25">
      <c r="A382" s="39"/>
      <c r="B382" s="39"/>
      <c r="C382" s="39"/>
      <c r="D382" s="95" t="s">
        <v>423</v>
      </c>
      <c r="E382" s="39"/>
      <c r="F382" s="39"/>
      <c r="G382" s="39"/>
      <c r="H382" s="65"/>
      <c r="I382" s="65"/>
      <c r="J382" s="65"/>
      <c r="K382" s="65"/>
      <c r="L382" s="65"/>
      <c r="M382" s="65"/>
      <c r="N382" s="65"/>
      <c r="O382" s="39"/>
    </row>
    <row r="383" spans="1:15" x14ac:dyDescent="0.25">
      <c r="A383" s="39"/>
      <c r="B383" s="39"/>
      <c r="C383" s="39"/>
      <c r="D383" s="95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107"/>
      <c r="B384" s="39"/>
      <c r="C384" s="39"/>
      <c r="D384" s="39"/>
      <c r="E384" s="101" t="s">
        <v>174</v>
      </c>
      <c r="F384" s="39"/>
      <c r="G384" s="101" t="s">
        <v>438</v>
      </c>
      <c r="H384" s="35">
        <v>285365694.00000006</v>
      </c>
      <c r="I384" s="123" t="s">
        <v>314</v>
      </c>
      <c r="J384" s="110"/>
      <c r="K384" s="110"/>
      <c r="L384" s="110"/>
      <c r="M384" s="110"/>
      <c r="N384" s="65"/>
      <c r="O384" s="101" t="s">
        <v>571</v>
      </c>
    </row>
    <row r="385" spans="1:15" x14ac:dyDescent="0.25">
      <c r="A385" s="39"/>
      <c r="B385" s="39"/>
      <c r="C385" s="39"/>
      <c r="D385" s="39"/>
      <c r="E385" s="95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6" t="s">
        <v>769</v>
      </c>
      <c r="D386" s="96"/>
      <c r="E386" s="96"/>
      <c r="F386" s="96"/>
      <c r="G386" s="96"/>
      <c r="H386" s="97"/>
      <c r="I386" s="97"/>
      <c r="J386" s="97"/>
      <c r="K386" s="97"/>
      <c r="L386" s="97"/>
      <c r="M386" s="97"/>
      <c r="N386" s="97"/>
      <c r="O386" s="96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39"/>
      <c r="B388" s="39"/>
      <c r="C388" s="39"/>
      <c r="D388" s="95" t="s">
        <v>709</v>
      </c>
      <c r="E388" s="39"/>
      <c r="F388" s="39"/>
      <c r="G388" s="39"/>
      <c r="H388" s="65"/>
      <c r="I388" s="65"/>
      <c r="J388" s="65"/>
      <c r="K388" s="65"/>
      <c r="L388" s="65"/>
      <c r="M388" s="65"/>
      <c r="N388" s="65"/>
      <c r="O388" s="39"/>
    </row>
    <row r="389" spans="1:15" x14ac:dyDescent="0.25">
      <c r="A389" s="39"/>
      <c r="B389" s="39"/>
      <c r="C389" s="39"/>
      <c r="D389" s="95"/>
      <c r="E389" s="39"/>
      <c r="F389" s="39"/>
      <c r="G389" s="39"/>
      <c r="H389" s="65"/>
      <c r="I389" s="65"/>
      <c r="J389" s="65"/>
      <c r="K389" s="65"/>
      <c r="L389" s="65"/>
      <c r="M389" s="65"/>
      <c r="N389" s="65"/>
      <c r="O389" s="39"/>
    </row>
    <row r="390" spans="1:15" x14ac:dyDescent="0.25">
      <c r="A390" s="107"/>
      <c r="B390" s="39"/>
      <c r="C390" s="39"/>
      <c r="D390" s="39"/>
      <c r="E390" s="101" t="s">
        <v>175</v>
      </c>
      <c r="F390" s="39"/>
      <c r="G390" s="101" t="s">
        <v>438</v>
      </c>
      <c r="H390" s="35">
        <v>7172595</v>
      </c>
      <c r="I390" s="123" t="s">
        <v>314</v>
      </c>
      <c r="J390" s="110"/>
      <c r="K390" s="110"/>
      <c r="L390" s="110"/>
      <c r="M390" s="110"/>
      <c r="N390" s="65"/>
      <c r="O390" s="101" t="s">
        <v>571</v>
      </c>
    </row>
    <row r="391" spans="1:15" x14ac:dyDescent="0.25">
      <c r="A391" s="39"/>
      <c r="B391" s="39"/>
      <c r="C391" s="39"/>
      <c r="D391" s="39"/>
      <c r="E391" s="95"/>
      <c r="F391" s="39"/>
      <c r="G391" s="39"/>
      <c r="H391" s="65"/>
      <c r="I391" s="65"/>
      <c r="J391" s="65"/>
      <c r="K391" s="65"/>
      <c r="L391" s="65"/>
      <c r="M391" s="65"/>
      <c r="N391" s="65"/>
      <c r="O391" s="39"/>
    </row>
    <row r="392" spans="1:15" x14ac:dyDescent="0.25">
      <c r="A392" s="39"/>
      <c r="B392" s="39"/>
      <c r="C392" s="96" t="s">
        <v>770</v>
      </c>
      <c r="D392" s="96"/>
      <c r="E392" s="96"/>
      <c r="F392" s="96"/>
      <c r="G392" s="96"/>
      <c r="H392" s="97"/>
      <c r="I392" s="97"/>
      <c r="J392" s="97"/>
      <c r="K392" s="97"/>
      <c r="L392" s="97"/>
      <c r="M392" s="97"/>
      <c r="N392" s="97"/>
      <c r="O392" s="96"/>
    </row>
    <row r="393" spans="1:15" x14ac:dyDescent="0.25">
      <c r="A393" s="39"/>
      <c r="B393" s="39"/>
      <c r="C393" s="95"/>
      <c r="D393" s="95"/>
      <c r="E393" s="39"/>
      <c r="F393" s="39"/>
      <c r="G393" s="39"/>
      <c r="H393" s="65"/>
      <c r="I393" s="65"/>
      <c r="J393" s="65"/>
      <c r="K393" s="65"/>
      <c r="L393" s="65"/>
      <c r="M393" s="65"/>
      <c r="N393" s="65"/>
      <c r="O393" s="39"/>
    </row>
    <row r="394" spans="1:15" x14ac:dyDescent="0.25">
      <c r="A394" s="39"/>
      <c r="B394" s="39"/>
      <c r="C394" s="39"/>
      <c r="D394" s="95" t="s">
        <v>468</v>
      </c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469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/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107"/>
      <c r="B397" s="39"/>
      <c r="C397" s="39"/>
      <c r="D397" s="39"/>
      <c r="E397" s="101" t="s">
        <v>347</v>
      </c>
      <c r="F397" s="39"/>
      <c r="G397" s="101" t="s">
        <v>438</v>
      </c>
      <c r="H397" s="35">
        <v>10309999.999999998</v>
      </c>
      <c r="I397" s="123" t="s">
        <v>314</v>
      </c>
      <c r="J397" s="110"/>
      <c r="K397" s="110"/>
      <c r="L397" s="110"/>
      <c r="M397" s="110"/>
      <c r="N397" s="65"/>
      <c r="O397" s="101" t="s">
        <v>595</v>
      </c>
    </row>
    <row r="398" spans="1:15" x14ac:dyDescent="0.25">
      <c r="A398" s="39"/>
      <c r="B398" s="39"/>
      <c r="C398" s="39"/>
      <c r="D398" s="39"/>
      <c r="E398" s="95"/>
      <c r="F398" s="39"/>
      <c r="G398" s="39"/>
      <c r="H398" s="65"/>
      <c r="I398" s="65"/>
      <c r="J398" s="65"/>
      <c r="K398" s="65"/>
      <c r="L398" s="65"/>
      <c r="M398" s="65"/>
      <c r="N398" s="65"/>
      <c r="O398" s="39"/>
    </row>
    <row r="399" spans="1:15" x14ac:dyDescent="0.25">
      <c r="A399" s="39"/>
      <c r="B399" s="39"/>
      <c r="C399" s="96" t="s">
        <v>771</v>
      </c>
      <c r="D399" s="96"/>
      <c r="E399" s="96"/>
      <c r="F399" s="96"/>
      <c r="G399" s="96"/>
      <c r="H399" s="97"/>
      <c r="I399" s="97"/>
      <c r="J399" s="97"/>
      <c r="K399" s="97"/>
      <c r="L399" s="97"/>
      <c r="M399" s="97"/>
      <c r="N399" s="97"/>
      <c r="O399" s="96"/>
    </row>
    <row r="400" spans="1:15" x14ac:dyDescent="0.25">
      <c r="A400" s="39"/>
      <c r="B400" s="39"/>
      <c r="C400" s="95"/>
      <c r="D400" s="95"/>
      <c r="E400" s="39"/>
      <c r="F400" s="39"/>
      <c r="G400" s="39"/>
      <c r="H400" s="65"/>
      <c r="I400" s="65"/>
      <c r="J400" s="65"/>
      <c r="K400" s="65"/>
      <c r="L400" s="65"/>
      <c r="M400" s="65"/>
      <c r="N400" s="65"/>
      <c r="O400" s="39"/>
    </row>
    <row r="401" spans="1:15" x14ac:dyDescent="0.25">
      <c r="A401" s="39"/>
      <c r="B401" s="39"/>
      <c r="C401" s="39"/>
      <c r="D401" s="95" t="s">
        <v>425</v>
      </c>
      <c r="E401" s="39"/>
      <c r="F401" s="39"/>
      <c r="G401" s="39"/>
      <c r="H401" s="65"/>
      <c r="I401" s="65"/>
      <c r="J401" s="65"/>
      <c r="K401" s="65"/>
      <c r="L401" s="65"/>
      <c r="M401" s="65"/>
      <c r="N401" s="65"/>
      <c r="O401" s="39"/>
    </row>
    <row r="402" spans="1:15" x14ac:dyDescent="0.25">
      <c r="A402" s="39"/>
      <c r="B402" s="39"/>
      <c r="C402" s="39"/>
      <c r="D402" s="95"/>
      <c r="E402" s="39"/>
      <c r="F402" s="39"/>
      <c r="G402" s="39"/>
      <c r="H402" s="65"/>
      <c r="I402" s="65"/>
      <c r="J402" s="65"/>
      <c r="K402" s="65"/>
      <c r="L402" s="65"/>
      <c r="M402" s="65"/>
      <c r="N402" s="65"/>
      <c r="O402" s="39"/>
    </row>
    <row r="403" spans="1:15" x14ac:dyDescent="0.25">
      <c r="A403" s="107"/>
      <c r="B403" s="39"/>
      <c r="C403" s="39"/>
      <c r="D403" s="95"/>
      <c r="E403" s="98" t="s">
        <v>176</v>
      </c>
      <c r="F403" s="39"/>
      <c r="G403" s="39"/>
      <c r="H403" s="65"/>
      <c r="I403" s="112" t="s">
        <v>314</v>
      </c>
      <c r="J403" s="65"/>
      <c r="K403" s="65"/>
      <c r="L403" s="65"/>
      <c r="M403" s="65"/>
      <c r="N403" s="65"/>
      <c r="O403" s="101" t="s">
        <v>596</v>
      </c>
    </row>
    <row r="404" spans="1:15" x14ac:dyDescent="0.25">
      <c r="A404" s="39"/>
      <c r="B404" s="39"/>
      <c r="C404" s="39"/>
      <c r="D404" s="39"/>
      <c r="E404" s="95"/>
      <c r="F404" s="99" t="s">
        <v>166</v>
      </c>
      <c r="G404" s="99" t="s">
        <v>177</v>
      </c>
      <c r="H404" s="34">
        <v>616</v>
      </c>
      <c r="I404" s="110"/>
      <c r="J404" s="110"/>
      <c r="K404" s="110"/>
      <c r="L404" s="110"/>
      <c r="M404" s="110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1" t="s">
        <v>40</v>
      </c>
      <c r="G405" s="101" t="s">
        <v>177</v>
      </c>
      <c r="H405" s="35">
        <v>9051</v>
      </c>
      <c r="I405" s="110"/>
      <c r="J405" s="110"/>
      <c r="K405" s="110"/>
      <c r="L405" s="110"/>
      <c r="M405" s="110"/>
      <c r="N405" s="65"/>
      <c r="O405" s="39"/>
    </row>
    <row r="406" spans="1:15" x14ac:dyDescent="0.25">
      <c r="A406" s="39"/>
      <c r="B406" s="39"/>
      <c r="C406" s="39"/>
      <c r="D406" s="39"/>
      <c r="E406" s="39"/>
      <c r="F406" s="103" t="s">
        <v>165</v>
      </c>
      <c r="G406" s="103" t="s">
        <v>177</v>
      </c>
      <c r="H406" s="36">
        <v>17084</v>
      </c>
      <c r="I406" s="110"/>
      <c r="J406" s="110"/>
      <c r="K406" s="110"/>
      <c r="L406" s="110"/>
      <c r="M406" s="110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96" t="s">
        <v>772</v>
      </c>
      <c r="D408" s="96"/>
      <c r="E408" s="96"/>
      <c r="F408" s="96"/>
      <c r="G408" s="96"/>
      <c r="H408" s="97"/>
      <c r="I408" s="97"/>
      <c r="J408" s="97"/>
      <c r="K408" s="97"/>
      <c r="L408" s="97"/>
      <c r="M408" s="97"/>
      <c r="N408" s="97"/>
      <c r="O408" s="96"/>
    </row>
    <row r="409" spans="1:15" x14ac:dyDescent="0.25">
      <c r="A409" s="39"/>
      <c r="B409" s="39"/>
      <c r="C409" s="95"/>
      <c r="D409" s="95"/>
      <c r="E409" s="39"/>
      <c r="F409" s="39"/>
      <c r="G409" s="39"/>
      <c r="H409" s="65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C410" s="39"/>
      <c r="D410" s="95" t="s">
        <v>426</v>
      </c>
      <c r="E410" s="39"/>
      <c r="F410" s="39"/>
      <c r="G410" s="39"/>
      <c r="H410" s="65"/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95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39"/>
      <c r="C412" s="39"/>
      <c r="D412" s="39"/>
      <c r="E412" s="101" t="s">
        <v>424</v>
      </c>
      <c r="F412" s="39"/>
      <c r="G412" s="101" t="s">
        <v>177</v>
      </c>
      <c r="H412" s="35">
        <v>1381</v>
      </c>
      <c r="I412" s="123" t="s">
        <v>314</v>
      </c>
      <c r="J412" s="110"/>
      <c r="K412" s="110"/>
      <c r="L412" s="110"/>
      <c r="M412" s="110"/>
      <c r="N412" s="65"/>
      <c r="O412" s="128" t="s">
        <v>567</v>
      </c>
    </row>
    <row r="413" spans="1:15" x14ac:dyDescent="0.25">
      <c r="A413" s="39"/>
      <c r="B413" s="39"/>
      <c r="C413" s="39"/>
      <c r="D413" s="39"/>
      <c r="E413" s="95"/>
      <c r="F413" s="39"/>
      <c r="G413" s="39"/>
      <c r="H413" s="65"/>
      <c r="I413" s="65"/>
      <c r="J413" s="65"/>
      <c r="K413" s="65"/>
      <c r="L413" s="65"/>
      <c r="M413" s="65"/>
      <c r="N413" s="65"/>
      <c r="O413" s="39"/>
    </row>
    <row r="414" spans="1:15" x14ac:dyDescent="0.25">
      <c r="A414" s="39"/>
      <c r="B414" s="93" t="s">
        <v>30</v>
      </c>
      <c r="C414" s="93"/>
      <c r="D414" s="93"/>
      <c r="E414" s="93"/>
      <c r="F414" s="93"/>
      <c r="G414" s="93"/>
      <c r="H414" s="94"/>
      <c r="I414" s="94"/>
      <c r="J414" s="94"/>
      <c r="K414" s="94"/>
      <c r="L414" s="94"/>
      <c r="M414" s="94"/>
      <c r="N414" s="94"/>
      <c r="O414" s="93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3" t="str">
        <f ca="1">MID(CELL("filename",A1),FIND("]",CELL("filename",A1))+1,255)</f>
        <v>MEAV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3"/>
      <c r="CS1" s="2"/>
    </row>
    <row r="2" spans="1:97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3"/>
      <c r="CS2" s="2"/>
    </row>
    <row r="3" spans="1:9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6"/>
      <c r="CS3" s="3"/>
    </row>
    <row r="4" spans="1:97" x14ac:dyDescent="0.25">
      <c r="A4" s="64" t="str">
        <f>H147 &amp; IF(H147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97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197</v>
      </c>
      <c r="K5" s="90" t="s">
        <v>199</v>
      </c>
      <c r="L5" s="90" t="s">
        <v>50</v>
      </c>
      <c r="M5" s="90" t="s">
        <v>200</v>
      </c>
      <c r="N5" s="90" t="s">
        <v>201</v>
      </c>
      <c r="O5" s="90" t="s">
        <v>202</v>
      </c>
      <c r="P5" s="90" t="s">
        <v>203</v>
      </c>
      <c r="Q5" s="90" t="s">
        <v>204</v>
      </c>
      <c r="R5" s="90" t="s">
        <v>205</v>
      </c>
      <c r="S5" s="90" t="s">
        <v>206</v>
      </c>
      <c r="T5" s="90" t="s">
        <v>207</v>
      </c>
      <c r="U5" s="90" t="s">
        <v>208</v>
      </c>
      <c r="V5" s="90" t="s">
        <v>209</v>
      </c>
      <c r="W5" s="90" t="s">
        <v>368</v>
      </c>
      <c r="X5" s="90" t="s">
        <v>369</v>
      </c>
      <c r="Y5" s="90" t="s">
        <v>370</v>
      </c>
      <c r="Z5" s="90" t="s">
        <v>371</v>
      </c>
      <c r="AA5" s="90" t="s">
        <v>64</v>
      </c>
      <c r="AB5" s="90" t="s">
        <v>65</v>
      </c>
      <c r="AC5" s="90" t="s">
        <v>210</v>
      </c>
      <c r="AD5" s="90" t="s">
        <v>211</v>
      </c>
      <c r="AE5" s="90" t="s">
        <v>212</v>
      </c>
      <c r="AF5" s="90" t="s">
        <v>372</v>
      </c>
      <c r="AG5" s="90" t="s">
        <v>373</v>
      </c>
      <c r="AH5" s="90" t="s">
        <v>71</v>
      </c>
      <c r="AI5" s="90" t="s">
        <v>72</v>
      </c>
      <c r="AJ5" s="90" t="s">
        <v>73</v>
      </c>
      <c r="AK5" s="90" t="s">
        <v>374</v>
      </c>
      <c r="AL5" s="90" t="s">
        <v>375</v>
      </c>
      <c r="AM5" s="90" t="s">
        <v>376</v>
      </c>
      <c r="AN5" s="90" t="s">
        <v>377</v>
      </c>
      <c r="AO5" s="90" t="s">
        <v>378</v>
      </c>
      <c r="AP5" s="90" t="s">
        <v>379</v>
      </c>
      <c r="AQ5" s="90" t="s">
        <v>80</v>
      </c>
      <c r="AR5" s="90" t="s">
        <v>380</v>
      </c>
      <c r="AS5" s="90" t="s">
        <v>381</v>
      </c>
      <c r="AT5" s="90" t="s">
        <v>382</v>
      </c>
      <c r="AU5" s="90" t="s">
        <v>383</v>
      </c>
      <c r="AV5" s="90" t="s">
        <v>384</v>
      </c>
      <c r="AW5" s="90" t="s">
        <v>385</v>
      </c>
      <c r="AX5" s="90" t="s">
        <v>213</v>
      </c>
      <c r="AY5" s="90" t="s">
        <v>214</v>
      </c>
      <c r="AZ5" s="90" t="s">
        <v>215</v>
      </c>
      <c r="BA5" s="90" t="s">
        <v>216</v>
      </c>
      <c r="BB5" s="90" t="s">
        <v>91</v>
      </c>
      <c r="BC5" s="90" t="s">
        <v>92</v>
      </c>
      <c r="BD5" s="90" t="s">
        <v>93</v>
      </c>
      <c r="BE5" s="90" t="s">
        <v>94</v>
      </c>
      <c r="BF5" s="90" t="s">
        <v>217</v>
      </c>
      <c r="BG5" s="90" t="s">
        <v>218</v>
      </c>
      <c r="BH5" s="90" t="s">
        <v>219</v>
      </c>
      <c r="BI5" s="90" t="s">
        <v>220</v>
      </c>
      <c r="BJ5" s="90" t="s">
        <v>221</v>
      </c>
      <c r="BK5" s="90" t="s">
        <v>222</v>
      </c>
      <c r="BL5" s="90" t="s">
        <v>223</v>
      </c>
      <c r="BM5" s="90" t="s">
        <v>386</v>
      </c>
      <c r="BN5" s="90" t="s">
        <v>387</v>
      </c>
      <c r="BO5" s="90" t="s">
        <v>388</v>
      </c>
      <c r="BP5" s="90" t="s">
        <v>389</v>
      </c>
      <c r="BQ5" s="90" t="s">
        <v>106</v>
      </c>
      <c r="BR5" s="90" t="s">
        <v>107</v>
      </c>
      <c r="BS5" s="90" t="s">
        <v>390</v>
      </c>
      <c r="BT5" s="90" t="s">
        <v>109</v>
      </c>
      <c r="BU5" s="90" t="s">
        <v>391</v>
      </c>
      <c r="BV5" s="90" t="s">
        <v>392</v>
      </c>
      <c r="BW5" s="90" t="s">
        <v>112</v>
      </c>
      <c r="BX5" s="90" t="s">
        <v>113</v>
      </c>
      <c r="BY5" s="90" t="s">
        <v>114</v>
      </c>
      <c r="BZ5" s="90" t="s">
        <v>224</v>
      </c>
      <c r="CA5" s="90" t="s">
        <v>225</v>
      </c>
      <c r="CB5" s="90" t="s">
        <v>117</v>
      </c>
      <c r="CC5" s="90" t="s">
        <v>118</v>
      </c>
      <c r="CD5" s="90" t="s">
        <v>119</v>
      </c>
      <c r="CE5" s="90" t="s">
        <v>226</v>
      </c>
      <c r="CF5" s="90" t="s">
        <v>227</v>
      </c>
      <c r="CG5" s="90" t="s">
        <v>228</v>
      </c>
      <c r="CH5" s="90" t="s">
        <v>367</v>
      </c>
      <c r="CI5" s="90" t="s">
        <v>393</v>
      </c>
      <c r="CJ5" s="90" t="s">
        <v>125</v>
      </c>
      <c r="CK5" s="90" t="s">
        <v>126</v>
      </c>
      <c r="CL5" s="90" t="s">
        <v>127</v>
      </c>
      <c r="CM5" s="90" t="s">
        <v>394</v>
      </c>
      <c r="CN5" s="90" t="s">
        <v>395</v>
      </c>
      <c r="CO5" s="90" t="s">
        <v>229</v>
      </c>
      <c r="CP5" s="90" t="s">
        <v>230</v>
      </c>
      <c r="CQ5" s="65"/>
      <c r="CR5" s="89" t="s">
        <v>34</v>
      </c>
    </row>
    <row r="6" spans="1:9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39"/>
    </row>
    <row r="7" spans="1:9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3"/>
    </row>
    <row r="8" spans="1:9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39"/>
    </row>
    <row r="9" spans="1:97" x14ac:dyDescent="0.25">
      <c r="A9" s="39"/>
      <c r="B9" s="39"/>
      <c r="C9" s="95" t="s">
        <v>459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39"/>
    </row>
    <row r="10" spans="1:97" x14ac:dyDescent="0.25">
      <c r="A10" s="39"/>
      <c r="B10" s="39"/>
      <c r="C10" s="95" t="s">
        <v>460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39"/>
    </row>
    <row r="11" spans="1:97" x14ac:dyDescent="0.25">
      <c r="A11" s="39"/>
      <c r="B11" s="39"/>
      <c r="C11" s="95" t="s">
        <v>715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39"/>
    </row>
    <row r="12" spans="1:9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39"/>
    </row>
    <row r="13" spans="1:97" x14ac:dyDescent="0.25">
      <c r="A13" s="39"/>
      <c r="B13" s="93" t="s">
        <v>22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3"/>
    </row>
    <row r="14" spans="1:9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39"/>
    </row>
    <row r="15" spans="1:97" x14ac:dyDescent="0.25">
      <c r="A15" s="39"/>
      <c r="B15" s="39"/>
      <c r="C15" s="95" t="s">
        <v>501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39"/>
    </row>
    <row r="16" spans="1:97" x14ac:dyDescent="0.25">
      <c r="A16" s="39"/>
      <c r="B16" s="39"/>
      <c r="C16" s="95" t="s">
        <v>671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39"/>
    </row>
    <row r="17" spans="1:9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39"/>
    </row>
    <row r="18" spans="1:96" x14ac:dyDescent="0.25">
      <c r="A18" s="39"/>
      <c r="B18" s="39"/>
      <c r="C18" s="96" t="s">
        <v>623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6"/>
    </row>
    <row r="19" spans="1:9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39"/>
    </row>
    <row r="20" spans="1:96" x14ac:dyDescent="0.25">
      <c r="A20" s="39"/>
      <c r="B20" s="39"/>
      <c r="C20" s="39"/>
      <c r="D20" s="95"/>
      <c r="E20" s="101" t="str">
        <f>'DNO inputs'!E79</f>
        <v>MEAV asset count (km if noted), by asset type</v>
      </c>
      <c r="F20" s="39"/>
      <c r="G20" s="101" t="str">
        <f>'DNO inputs'!G80</f>
        <v>units</v>
      </c>
      <c r="H20" s="110"/>
      <c r="I20" s="110"/>
      <c r="J20" s="132">
        <f>'DNO inputs'!H80</f>
        <v>5998</v>
      </c>
      <c r="K20" s="132">
        <f>'DNO inputs'!H81</f>
        <v>236300</v>
      </c>
      <c r="L20" s="132">
        <f>'DNO inputs'!H82</f>
        <v>194497</v>
      </c>
      <c r="M20" s="132">
        <f>'DNO inputs'!H83</f>
        <v>3903</v>
      </c>
      <c r="N20" s="132">
        <f>'DNO inputs'!H84</f>
        <v>5782.6999999999989</v>
      </c>
      <c r="O20" s="132">
        <f>'DNO inputs'!H85</f>
        <v>16215.5</v>
      </c>
      <c r="P20" s="132">
        <f>'DNO inputs'!H86</f>
        <v>2225996</v>
      </c>
      <c r="Q20" s="132">
        <f>'DNO inputs'!H87</f>
        <v>5238</v>
      </c>
      <c r="R20" s="132">
        <f>'DNO inputs'!H88</f>
        <v>10420</v>
      </c>
      <c r="S20" s="132">
        <f>'DNO inputs'!H89</f>
        <v>0</v>
      </c>
      <c r="T20" s="132">
        <f>'DNO inputs'!H90</f>
        <v>21398.2</v>
      </c>
      <c r="U20" s="132">
        <f>'DNO inputs'!H91</f>
        <v>34104</v>
      </c>
      <c r="V20" s="132">
        <f>'DNO inputs'!H92</f>
        <v>0</v>
      </c>
      <c r="W20" s="132">
        <f>'DNO inputs'!H93</f>
        <v>14429.7</v>
      </c>
      <c r="X20" s="132">
        <f>'DNO inputs'!H94</f>
        <v>0</v>
      </c>
      <c r="Y20" s="132">
        <f>'DNO inputs'!H95</f>
        <v>0</v>
      </c>
      <c r="Z20" s="132">
        <f>'DNO inputs'!H96</f>
        <v>0</v>
      </c>
      <c r="AA20" s="132">
        <f>'DNO inputs'!H97</f>
        <v>207731</v>
      </c>
      <c r="AB20" s="132">
        <f>'DNO inputs'!H98</f>
        <v>0</v>
      </c>
      <c r="AC20" s="132">
        <f>'DNO inputs'!H99</f>
        <v>12294.099999999999</v>
      </c>
      <c r="AD20" s="132">
        <f>'DNO inputs'!H100</f>
        <v>0</v>
      </c>
      <c r="AE20" s="132">
        <f>'DNO inputs'!H101</f>
        <v>0</v>
      </c>
      <c r="AF20" s="132">
        <f>'DNO inputs'!H102</f>
        <v>1779</v>
      </c>
      <c r="AG20" s="132">
        <f>'DNO inputs'!H103</f>
        <v>9875</v>
      </c>
      <c r="AH20" s="132">
        <f>'DNO inputs'!H104</f>
        <v>935</v>
      </c>
      <c r="AI20" s="132">
        <f>'DNO inputs'!H105</f>
        <v>8754</v>
      </c>
      <c r="AJ20" s="132">
        <f>'DNO inputs'!H106</f>
        <v>13991</v>
      </c>
      <c r="AK20" s="132">
        <f>'DNO inputs'!H107</f>
        <v>11321</v>
      </c>
      <c r="AL20" s="132">
        <f>'DNO inputs'!H108</f>
        <v>0</v>
      </c>
      <c r="AM20" s="132">
        <f>'DNO inputs'!H109</f>
        <v>0</v>
      </c>
      <c r="AN20" s="132">
        <f>'DNO inputs'!H110</f>
        <v>0</v>
      </c>
      <c r="AO20" s="132">
        <f>'DNO inputs'!H111</f>
        <v>0</v>
      </c>
      <c r="AP20" s="132">
        <f>'DNO inputs'!H112</f>
        <v>0</v>
      </c>
      <c r="AQ20" s="132">
        <f>'DNO inputs'!H113</f>
        <v>0</v>
      </c>
      <c r="AR20" s="132">
        <f>'DNO inputs'!H114</f>
        <v>0</v>
      </c>
      <c r="AS20" s="132">
        <f>'DNO inputs'!H115</f>
        <v>0</v>
      </c>
      <c r="AT20" s="132">
        <f>'DNO inputs'!H116</f>
        <v>34852</v>
      </c>
      <c r="AU20" s="132">
        <f>'DNO inputs'!H117</f>
        <v>15750</v>
      </c>
      <c r="AV20" s="132">
        <f>'DNO inputs'!H118</f>
        <v>0</v>
      </c>
      <c r="AW20" s="132">
        <f>'DNO inputs'!H119</f>
        <v>0</v>
      </c>
      <c r="AX20" s="132">
        <f>'DNO inputs'!H120</f>
        <v>1029.0000000000002</v>
      </c>
      <c r="AY20" s="132">
        <f>'DNO inputs'!H121</f>
        <v>0</v>
      </c>
      <c r="AZ20" s="132">
        <f>'DNO inputs'!H122</f>
        <v>793</v>
      </c>
      <c r="BA20" s="132">
        <f>'DNO inputs'!H123</f>
        <v>0</v>
      </c>
      <c r="BB20" s="132">
        <f>'DNO inputs'!H124</f>
        <v>7311.4</v>
      </c>
      <c r="BC20" s="132">
        <f>'DNO inputs'!H125</f>
        <v>725</v>
      </c>
      <c r="BD20" s="132">
        <f>'DNO inputs'!H126</f>
        <v>8891</v>
      </c>
      <c r="BE20" s="132">
        <f>'DNO inputs'!H127</f>
        <v>669</v>
      </c>
      <c r="BF20" s="132">
        <f>'DNO inputs'!H128</f>
        <v>221.5</v>
      </c>
      <c r="BG20" s="132">
        <f>'DNO inputs'!H129</f>
        <v>122</v>
      </c>
      <c r="BH20" s="132">
        <f>'DNO inputs'!H130</f>
        <v>9</v>
      </c>
      <c r="BI20" s="132">
        <f>'DNO inputs'!H131</f>
        <v>8</v>
      </c>
      <c r="BJ20" s="132">
        <f>'DNO inputs'!H132</f>
        <v>8</v>
      </c>
      <c r="BK20" s="132">
        <f>'DNO inputs'!H133</f>
        <v>0</v>
      </c>
      <c r="BL20" s="132">
        <f>'DNO inputs'!H134</f>
        <v>0</v>
      </c>
      <c r="BM20" s="132">
        <f>'DNO inputs'!H135</f>
        <v>88</v>
      </c>
      <c r="BN20" s="132">
        <f>'DNO inputs'!H136</f>
        <v>305</v>
      </c>
      <c r="BO20" s="132">
        <f>'DNO inputs'!H137</f>
        <v>0</v>
      </c>
      <c r="BP20" s="132">
        <f>'DNO inputs'!H138</f>
        <v>0</v>
      </c>
      <c r="BQ20" s="132">
        <f>'DNO inputs'!H139</f>
        <v>0</v>
      </c>
      <c r="BR20" s="132">
        <f>'DNO inputs'!H140</f>
        <v>1444</v>
      </c>
      <c r="BS20" s="132">
        <f>'DNO inputs'!H141</f>
        <v>77</v>
      </c>
      <c r="BT20" s="132">
        <f>'DNO inputs'!H142</f>
        <v>575</v>
      </c>
      <c r="BU20" s="132">
        <f>'DNO inputs'!H143</f>
        <v>3</v>
      </c>
      <c r="BV20" s="132">
        <f>'DNO inputs'!H144</f>
        <v>203</v>
      </c>
      <c r="BW20" s="132">
        <f>'DNO inputs'!H145</f>
        <v>193</v>
      </c>
      <c r="BX20" s="132">
        <f>'DNO inputs'!H146</f>
        <v>82</v>
      </c>
      <c r="BY20" s="132">
        <f>'DNO inputs'!H147</f>
        <v>46</v>
      </c>
      <c r="BZ20" s="132">
        <f>'DNO inputs'!H148</f>
        <v>0</v>
      </c>
      <c r="CA20" s="132">
        <f>'DNO inputs'!H149</f>
        <v>1368</v>
      </c>
      <c r="CB20" s="132">
        <f>'DNO inputs'!H150</f>
        <v>843</v>
      </c>
      <c r="CC20" s="132">
        <f>'DNO inputs'!H151</f>
        <v>2776</v>
      </c>
      <c r="CD20" s="132">
        <f>'DNO inputs'!H152</f>
        <v>4787</v>
      </c>
      <c r="CE20" s="132">
        <f>'DNO inputs'!H153</f>
        <v>43</v>
      </c>
      <c r="CF20" s="132">
        <f>'DNO inputs'!H154</f>
        <v>251</v>
      </c>
      <c r="CG20" s="132">
        <f>'DNO inputs'!H155</f>
        <v>16</v>
      </c>
      <c r="CH20" s="132">
        <f>'DNO inputs'!H156</f>
        <v>0</v>
      </c>
      <c r="CI20" s="132">
        <f>'DNO inputs'!H157</f>
        <v>295</v>
      </c>
      <c r="CJ20" s="132">
        <f>'DNO inputs'!H158</f>
        <v>1704</v>
      </c>
      <c r="CK20" s="132">
        <f>'DNO inputs'!H159</f>
        <v>249</v>
      </c>
      <c r="CL20" s="132">
        <f>'DNO inputs'!H160</f>
        <v>356</v>
      </c>
      <c r="CM20" s="132">
        <f>'DNO inputs'!H161</f>
        <v>2</v>
      </c>
      <c r="CN20" s="132">
        <f>'DNO inputs'!H162</f>
        <v>262</v>
      </c>
      <c r="CO20" s="132">
        <f>'DNO inputs'!H163</f>
        <v>1773</v>
      </c>
      <c r="CP20" s="132">
        <f>'DNO inputs'!H164</f>
        <v>1264</v>
      </c>
      <c r="CQ20" s="65"/>
      <c r="CR20" s="39"/>
    </row>
    <row r="21" spans="1:96" x14ac:dyDescent="0.25">
      <c r="A21" s="39"/>
      <c r="B21" s="39"/>
      <c r="C21" s="39"/>
      <c r="D21" s="39"/>
      <c r="E21" s="101" t="str">
        <f>'DNO inputs'!E170</f>
        <v>MEAV per unit, by asset type</v>
      </c>
      <c r="F21" s="39"/>
      <c r="G21" s="101" t="str">
        <f>'DNO inputs'!G171</f>
        <v>£ per unit</v>
      </c>
      <c r="H21" s="110"/>
      <c r="I21" s="110"/>
      <c r="J21" s="132">
        <f>'DNO inputs'!H171</f>
        <v>41700.246577433041</v>
      </c>
      <c r="K21" s="132">
        <f>'DNO inputs'!H172</f>
        <v>508.53959240772008</v>
      </c>
      <c r="L21" s="132">
        <f>'DNO inputs'!H173</f>
        <v>0</v>
      </c>
      <c r="M21" s="132">
        <f>'DNO inputs'!H174</f>
        <v>127134.89810193003</v>
      </c>
      <c r="N21" s="132">
        <f>'DNO inputs'!H175</f>
        <v>127134.89810193003</v>
      </c>
      <c r="O21" s="132">
        <f>'DNO inputs'!H176</f>
        <v>127134.89810193003</v>
      </c>
      <c r="P21" s="132">
        <f>'DNO inputs'!H177</f>
        <v>1700.0732843986286</v>
      </c>
      <c r="Q21" s="132">
        <f>'DNO inputs'!H178</f>
        <v>5721.0704145868513</v>
      </c>
      <c r="R21" s="132">
        <f>'DNO inputs'!H179</f>
        <v>5721.0704145868513</v>
      </c>
      <c r="S21" s="132">
        <f>'DNO inputs'!H180</f>
        <v>5721.0704145868513</v>
      </c>
      <c r="T21" s="132">
        <f>'DNO inputs'!H181</f>
        <v>4831.1261278733409</v>
      </c>
      <c r="U21" s="132">
        <f>'DNO inputs'!H182</f>
        <v>0</v>
      </c>
      <c r="V21" s="132">
        <f>'DNO inputs'!H183</f>
        <v>0</v>
      </c>
      <c r="W21" s="132">
        <f>'DNO inputs'!H184</f>
        <v>43098.730456554273</v>
      </c>
      <c r="X21" s="132">
        <f>'DNO inputs'!H185</f>
        <v>43098.730456554273</v>
      </c>
      <c r="Y21" s="132">
        <f>'DNO inputs'!H186</f>
        <v>0</v>
      </c>
      <c r="Z21" s="132">
        <f>'DNO inputs'!H187</f>
        <v>0</v>
      </c>
      <c r="AA21" s="132">
        <f>'DNO inputs'!H188</f>
        <v>0</v>
      </c>
      <c r="AB21" s="132">
        <f>'DNO inputs'!H189</f>
        <v>0</v>
      </c>
      <c r="AC21" s="132">
        <f>'DNO inputs'!H190</f>
        <v>84544.707237783456</v>
      </c>
      <c r="AD21" s="132">
        <f>'DNO inputs'!H191</f>
        <v>0</v>
      </c>
      <c r="AE21" s="132">
        <f>'DNO inputs'!H192</f>
        <v>0</v>
      </c>
      <c r="AF21" s="132">
        <f>'DNO inputs'!H193</f>
        <v>13984.838791212302</v>
      </c>
      <c r="AG21" s="132">
        <f>'DNO inputs'!H194</f>
        <v>30893.780238768992</v>
      </c>
      <c r="AH21" s="132">
        <f>'DNO inputs'!H195</f>
        <v>1652.7536753250902</v>
      </c>
      <c r="AI21" s="132">
        <f>'DNO inputs'!H196</f>
        <v>5212.5308221791302</v>
      </c>
      <c r="AJ21" s="132">
        <f>'DNO inputs'!H197</f>
        <v>16400.401855148972</v>
      </c>
      <c r="AK21" s="132">
        <f>'DNO inputs'!H198</f>
        <v>1652.7536753250902</v>
      </c>
      <c r="AL21" s="132">
        <f>'DNO inputs'!H199</f>
        <v>0</v>
      </c>
      <c r="AM21" s="132">
        <f>'DNO inputs'!H200</f>
        <v>0</v>
      </c>
      <c r="AN21" s="132">
        <f>'DNO inputs'!H201</f>
        <v>0</v>
      </c>
      <c r="AO21" s="132">
        <f>'DNO inputs'!H202</f>
        <v>0</v>
      </c>
      <c r="AP21" s="132">
        <f>'DNO inputs'!H203</f>
        <v>0</v>
      </c>
      <c r="AQ21" s="132">
        <f>'DNO inputs'!H204</f>
        <v>0</v>
      </c>
      <c r="AR21" s="132">
        <f>'DNO inputs'!H205</f>
        <v>0</v>
      </c>
      <c r="AS21" s="132">
        <f>'DNO inputs'!H206</f>
        <v>0</v>
      </c>
      <c r="AT21" s="132">
        <f>'DNO inputs'!H207</f>
        <v>3686.91204495597</v>
      </c>
      <c r="AU21" s="132">
        <f>'DNO inputs'!H208</f>
        <v>11950.680421581421</v>
      </c>
      <c r="AV21" s="132">
        <f>'DNO inputs'!H209</f>
        <v>0</v>
      </c>
      <c r="AW21" s="132">
        <f>'DNO inputs'!H210</f>
        <v>0</v>
      </c>
      <c r="AX21" s="132">
        <f>'DNO inputs'!H211</f>
        <v>98402.411130893845</v>
      </c>
      <c r="AY21" s="132">
        <f>'DNO inputs'!H212</f>
        <v>156757.32935967969</v>
      </c>
      <c r="AZ21" s="132">
        <f>'DNO inputs'!H213</f>
        <v>185616.95122881781</v>
      </c>
      <c r="BA21" s="132">
        <f>'DNO inputs'!H214</f>
        <v>185616.95122881781</v>
      </c>
      <c r="BB21" s="132">
        <f>'DNO inputs'!H215</f>
        <v>0</v>
      </c>
      <c r="BC21" s="132">
        <f>'DNO inputs'!H216</f>
        <v>0</v>
      </c>
      <c r="BD21" s="132">
        <f>'DNO inputs'!H217</f>
        <v>0</v>
      </c>
      <c r="BE21" s="132">
        <f>'DNO inputs'!H218</f>
        <v>0</v>
      </c>
      <c r="BF21" s="132">
        <f>'DNO inputs'!H219</f>
        <v>257066.76396210247</v>
      </c>
      <c r="BG21" s="132">
        <f>'DNO inputs'!H220</f>
        <v>257066.76396210247</v>
      </c>
      <c r="BH21" s="132">
        <f>'DNO inputs'!H221</f>
        <v>257066.76396210247</v>
      </c>
      <c r="BI21" s="132">
        <f>'DNO inputs'!H222</f>
        <v>1206510.1829873158</v>
      </c>
      <c r="BJ21" s="132">
        <f>'DNO inputs'!H223</f>
        <v>1206510.1829873158</v>
      </c>
      <c r="BK21" s="132">
        <f>'DNO inputs'!H224</f>
        <v>0</v>
      </c>
      <c r="BL21" s="132">
        <f>'DNO inputs'!H225</f>
        <v>0</v>
      </c>
      <c r="BM21" s="132">
        <f>'DNO inputs'!H226</f>
        <v>184981.27673830817</v>
      </c>
      <c r="BN21" s="132">
        <f>'DNO inputs'!H227</f>
        <v>184981.27673830817</v>
      </c>
      <c r="BO21" s="132">
        <f>'DNO inputs'!H228</f>
        <v>0</v>
      </c>
      <c r="BP21" s="132">
        <f>'DNO inputs'!H229</f>
        <v>0</v>
      </c>
      <c r="BQ21" s="132">
        <f>'DNO inputs'!H230</f>
        <v>588507.44331383402</v>
      </c>
      <c r="BR21" s="132">
        <f>'DNO inputs'!H231</f>
        <v>184981.27673830817</v>
      </c>
      <c r="BS21" s="132">
        <f>'DNO inputs'!H232</f>
        <v>697843.45568149386</v>
      </c>
      <c r="BT21" s="132">
        <f>'DNO inputs'!H233</f>
        <v>697843.45568149386</v>
      </c>
      <c r="BU21" s="132">
        <f>'DNO inputs'!H234</f>
        <v>532568.08814898483</v>
      </c>
      <c r="BV21" s="132">
        <f>'DNO inputs'!H235</f>
        <v>571979.90656058316</v>
      </c>
      <c r="BW21" s="132">
        <f>'DNO inputs'!H236</f>
        <v>11950.680421581421</v>
      </c>
      <c r="BX21" s="132">
        <f>'DNO inputs'!H237</f>
        <v>2234904.3737338278</v>
      </c>
      <c r="BY21" s="132">
        <f>'DNO inputs'!H238</f>
        <v>11950.680421581421</v>
      </c>
      <c r="BZ21" s="132">
        <f>'DNO inputs'!H239</f>
        <v>714879.53202715248</v>
      </c>
      <c r="CA21" s="132">
        <f>'DNO inputs'!H240</f>
        <v>1228504.5203589497</v>
      </c>
      <c r="CB21" s="132">
        <f>'DNO inputs'!H241</f>
        <v>0</v>
      </c>
      <c r="CC21" s="132">
        <f>'DNO inputs'!H242</f>
        <v>0</v>
      </c>
      <c r="CD21" s="132">
        <f>'DNO inputs'!H243</f>
        <v>0</v>
      </c>
      <c r="CE21" s="132">
        <f>'DNO inputs'!H244</f>
        <v>1239565.2564938178</v>
      </c>
      <c r="CF21" s="132">
        <f>'DNO inputs'!H245</f>
        <v>1239565.2564938178</v>
      </c>
      <c r="CG21" s="132">
        <f>'DNO inputs'!H246</f>
        <v>1239565.2564938178</v>
      </c>
      <c r="CH21" s="132">
        <f>'DNO inputs'!H247</f>
        <v>0</v>
      </c>
      <c r="CI21" s="132">
        <f>'DNO inputs'!H248</f>
        <v>1106455.0181810968</v>
      </c>
      <c r="CJ21" s="132">
        <f>'DNO inputs'!H249</f>
        <v>1106455.0181810968</v>
      </c>
      <c r="CK21" s="132">
        <f>'DNO inputs'!H250</f>
        <v>2234904.3737338278</v>
      </c>
      <c r="CL21" s="132">
        <f>'DNO inputs'!H251</f>
        <v>11950.680421581421</v>
      </c>
      <c r="CM21" s="132">
        <f>'DNO inputs'!H252</f>
        <v>62645</v>
      </c>
      <c r="CN21" s="132">
        <f>'DNO inputs'!H253</f>
        <v>62645</v>
      </c>
      <c r="CO21" s="132">
        <f>'DNO inputs'!H254</f>
        <v>62645</v>
      </c>
      <c r="CP21" s="132">
        <f>'DNO inputs'!H255</f>
        <v>62645</v>
      </c>
      <c r="CQ21" s="65"/>
      <c r="CR21" s="39"/>
    </row>
    <row r="22" spans="1:96" x14ac:dyDescent="0.25">
      <c r="A22" s="39"/>
      <c r="B22" s="39"/>
      <c r="C22" s="39"/>
      <c r="D22" s="39"/>
      <c r="E22" s="101" t="str">
        <f>'Fixed inputs'!E17</f>
        <v>One million</v>
      </c>
      <c r="F22" s="39"/>
      <c r="G22" s="101" t="str">
        <f>'Fixed inputs'!G17</f>
        <v>scalar</v>
      </c>
      <c r="H22" s="132">
        <f>'Fixed inputs'!H17</f>
        <v>1000000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65"/>
      <c r="CR22" s="39"/>
    </row>
    <row r="23" spans="1:96" x14ac:dyDescent="0.25">
      <c r="A23" s="39"/>
      <c r="B23" s="39"/>
      <c r="C23" s="39"/>
      <c r="D23" s="39"/>
      <c r="E23" s="95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39"/>
    </row>
    <row r="24" spans="1:96" x14ac:dyDescent="0.25">
      <c r="A24" s="101"/>
      <c r="B24" s="39"/>
      <c r="C24" s="39"/>
      <c r="D24" s="39"/>
      <c r="E24" s="101" t="s">
        <v>277</v>
      </c>
      <c r="F24" s="39"/>
      <c r="G24" s="101" t="s">
        <v>440</v>
      </c>
      <c r="H24" s="110"/>
      <c r="I24" s="123" t="s">
        <v>314</v>
      </c>
      <c r="J24" s="110">
        <f>J20 * J21 / $H22</f>
        <v>250.1180789714434</v>
      </c>
      <c r="K24" s="110">
        <f t="shared" ref="K24:BV24" si="0">K20 * K21 / $H22</f>
        <v>120.16790568594426</v>
      </c>
      <c r="L24" s="110">
        <f t="shared" si="0"/>
        <v>0</v>
      </c>
      <c r="M24" s="110">
        <f t="shared" si="0"/>
        <v>496.20750729183288</v>
      </c>
      <c r="N24" s="110">
        <f t="shared" si="0"/>
        <v>735.18297525403057</v>
      </c>
      <c r="O24" s="110">
        <f t="shared" si="0"/>
        <v>2061.5559401718465</v>
      </c>
      <c r="P24" s="110">
        <f t="shared" si="0"/>
        <v>3784.3563307782097</v>
      </c>
      <c r="Q24" s="110">
        <f t="shared" si="0"/>
        <v>29.966966831605927</v>
      </c>
      <c r="R24" s="110">
        <f t="shared" si="0"/>
        <v>59.613553719994989</v>
      </c>
      <c r="S24" s="110">
        <f t="shared" si="0"/>
        <v>0</v>
      </c>
      <c r="T24" s="110">
        <f t="shared" si="0"/>
        <v>103.37740310945932</v>
      </c>
      <c r="U24" s="110">
        <f t="shared" si="0"/>
        <v>0</v>
      </c>
      <c r="V24" s="110">
        <f t="shared" si="0"/>
        <v>0</v>
      </c>
      <c r="W24" s="110">
        <f t="shared" si="0"/>
        <v>621.90175086894124</v>
      </c>
      <c r="X24" s="110">
        <f t="shared" si="0"/>
        <v>0</v>
      </c>
      <c r="Y24" s="110">
        <f t="shared" si="0"/>
        <v>0</v>
      </c>
      <c r="Z24" s="110">
        <f t="shared" si="0"/>
        <v>0</v>
      </c>
      <c r="AA24" s="110">
        <f t="shared" si="0"/>
        <v>0</v>
      </c>
      <c r="AB24" s="110">
        <f t="shared" si="0"/>
        <v>0</v>
      </c>
      <c r="AC24" s="110">
        <f t="shared" si="0"/>
        <v>1039.4010852520335</v>
      </c>
      <c r="AD24" s="110">
        <f t="shared" si="0"/>
        <v>0</v>
      </c>
      <c r="AE24" s="110">
        <f t="shared" si="0"/>
        <v>0</v>
      </c>
      <c r="AF24" s="110">
        <f t="shared" si="0"/>
        <v>24.879028209566687</v>
      </c>
      <c r="AG24" s="110">
        <f t="shared" si="0"/>
        <v>305.07607985784381</v>
      </c>
      <c r="AH24" s="110">
        <f t="shared" si="0"/>
        <v>1.5453246864289591</v>
      </c>
      <c r="AI24" s="110">
        <f t="shared" si="0"/>
        <v>45.630494817356102</v>
      </c>
      <c r="AJ24" s="110">
        <f t="shared" si="0"/>
        <v>229.45802235538926</v>
      </c>
      <c r="AK24" s="110">
        <f t="shared" si="0"/>
        <v>18.710824358355346</v>
      </c>
      <c r="AL24" s="110">
        <f t="shared" si="0"/>
        <v>0</v>
      </c>
      <c r="AM24" s="110">
        <f t="shared" si="0"/>
        <v>0</v>
      </c>
      <c r="AN24" s="110">
        <f t="shared" si="0"/>
        <v>0</v>
      </c>
      <c r="AO24" s="110">
        <f t="shared" si="0"/>
        <v>0</v>
      </c>
      <c r="AP24" s="110">
        <f t="shared" si="0"/>
        <v>0</v>
      </c>
      <c r="AQ24" s="110">
        <f t="shared" si="0"/>
        <v>0</v>
      </c>
      <c r="AR24" s="110">
        <f t="shared" si="0"/>
        <v>0</v>
      </c>
      <c r="AS24" s="110">
        <f t="shared" si="0"/>
        <v>0</v>
      </c>
      <c r="AT24" s="110">
        <f t="shared" si="0"/>
        <v>128.49625859080547</v>
      </c>
      <c r="AU24" s="110">
        <f t="shared" si="0"/>
        <v>188.22321663990738</v>
      </c>
      <c r="AV24" s="110">
        <f t="shared" si="0"/>
        <v>0</v>
      </c>
      <c r="AW24" s="110">
        <f t="shared" si="0"/>
        <v>0</v>
      </c>
      <c r="AX24" s="110">
        <f t="shared" si="0"/>
        <v>101.2560810536898</v>
      </c>
      <c r="AY24" s="110">
        <f t="shared" si="0"/>
        <v>0</v>
      </c>
      <c r="AZ24" s="110">
        <f t="shared" si="0"/>
        <v>147.19424232445252</v>
      </c>
      <c r="BA24" s="110">
        <f t="shared" si="0"/>
        <v>0</v>
      </c>
      <c r="BB24" s="110">
        <f t="shared" si="0"/>
        <v>0</v>
      </c>
      <c r="BC24" s="110">
        <f t="shared" si="0"/>
        <v>0</v>
      </c>
      <c r="BD24" s="110">
        <f t="shared" si="0"/>
        <v>0</v>
      </c>
      <c r="BE24" s="110">
        <f t="shared" si="0"/>
        <v>0</v>
      </c>
      <c r="BF24" s="110">
        <f t="shared" si="0"/>
        <v>56.940288217605698</v>
      </c>
      <c r="BG24" s="110">
        <f t="shared" si="0"/>
        <v>31.362145203376503</v>
      </c>
      <c r="BH24" s="110">
        <f t="shared" si="0"/>
        <v>2.3136008756589224</v>
      </c>
      <c r="BI24" s="110">
        <f t="shared" si="0"/>
        <v>9.6520814638985257</v>
      </c>
      <c r="BJ24" s="110">
        <f t="shared" si="0"/>
        <v>9.6520814638985257</v>
      </c>
      <c r="BK24" s="110">
        <f t="shared" si="0"/>
        <v>0</v>
      </c>
      <c r="BL24" s="110">
        <f t="shared" si="0"/>
        <v>0</v>
      </c>
      <c r="BM24" s="110">
        <f t="shared" si="0"/>
        <v>16.278352352971119</v>
      </c>
      <c r="BN24" s="110">
        <f t="shared" si="0"/>
        <v>56.419289405183996</v>
      </c>
      <c r="BO24" s="110">
        <f t="shared" si="0"/>
        <v>0</v>
      </c>
      <c r="BP24" s="110">
        <f t="shared" si="0"/>
        <v>0</v>
      </c>
      <c r="BQ24" s="110">
        <f t="shared" si="0"/>
        <v>0</v>
      </c>
      <c r="BR24" s="110">
        <f t="shared" si="0"/>
        <v>267.11296361011699</v>
      </c>
      <c r="BS24" s="110">
        <f t="shared" si="0"/>
        <v>53.733946087475026</v>
      </c>
      <c r="BT24" s="110">
        <f t="shared" si="0"/>
        <v>401.25998701685899</v>
      </c>
      <c r="BU24" s="110">
        <f t="shared" si="0"/>
        <v>1.5977042644469546</v>
      </c>
      <c r="BV24" s="110">
        <f t="shared" si="0"/>
        <v>116.11192103179837</v>
      </c>
      <c r="BW24" s="110">
        <f t="shared" ref="BW24:CP24" si="1">BW20 * BW21 / $H22</f>
        <v>2.3064813213652142</v>
      </c>
      <c r="BX24" s="110">
        <f t="shared" si="1"/>
        <v>183.2621586461739</v>
      </c>
      <c r="BY24" s="110">
        <f t="shared" si="1"/>
        <v>0.54973129939274534</v>
      </c>
      <c r="BZ24" s="110">
        <f t="shared" si="1"/>
        <v>0</v>
      </c>
      <c r="CA24" s="110">
        <f t="shared" si="1"/>
        <v>1680.5941838510432</v>
      </c>
      <c r="CB24" s="110">
        <f t="shared" si="1"/>
        <v>0</v>
      </c>
      <c r="CC24" s="110">
        <f t="shared" si="1"/>
        <v>0</v>
      </c>
      <c r="CD24" s="110">
        <f t="shared" si="1"/>
        <v>0</v>
      </c>
      <c r="CE24" s="110">
        <f t="shared" si="1"/>
        <v>53.301306029234162</v>
      </c>
      <c r="CF24" s="110">
        <f t="shared" si="1"/>
        <v>311.13087937994828</v>
      </c>
      <c r="CG24" s="110">
        <f t="shared" si="1"/>
        <v>19.833044103901084</v>
      </c>
      <c r="CH24" s="110">
        <f t="shared" si="1"/>
        <v>0</v>
      </c>
      <c r="CI24" s="110">
        <f t="shared" si="1"/>
        <v>326.40423036342355</v>
      </c>
      <c r="CJ24" s="110">
        <f t="shared" si="1"/>
        <v>1885.3993509805889</v>
      </c>
      <c r="CK24" s="110">
        <f t="shared" si="1"/>
        <v>556.49118905972318</v>
      </c>
      <c r="CL24" s="110">
        <f t="shared" si="1"/>
        <v>4.2544422300829856</v>
      </c>
      <c r="CM24" s="110">
        <f t="shared" si="1"/>
        <v>0.12529000000000001</v>
      </c>
      <c r="CN24" s="110">
        <f t="shared" si="1"/>
        <v>16.412990000000001</v>
      </c>
      <c r="CO24" s="110">
        <f t="shared" si="1"/>
        <v>111.069585</v>
      </c>
      <c r="CP24" s="110">
        <f t="shared" si="1"/>
        <v>79.183279999999996</v>
      </c>
      <c r="CQ24" s="65"/>
      <c r="CR24" s="101" t="s">
        <v>569</v>
      </c>
    </row>
    <row r="25" spans="1:96" x14ac:dyDescent="0.25">
      <c r="A25" s="39"/>
      <c r="B25" s="39"/>
      <c r="C25" s="39"/>
      <c r="D25" s="39"/>
      <c r="E25" s="101" t="s">
        <v>276</v>
      </c>
      <c r="F25" s="39"/>
      <c r="G25" s="101" t="s">
        <v>440</v>
      </c>
      <c r="H25" s="110">
        <f>SUM(J24:CP24)</f>
        <v>16745.071574087309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65"/>
      <c r="CR25" s="39"/>
    </row>
    <row r="26" spans="1:9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39"/>
    </row>
    <row r="27" spans="1:96" x14ac:dyDescent="0.25">
      <c r="A27" s="39"/>
      <c r="B27" s="39"/>
      <c r="C27" s="96" t="s">
        <v>657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6"/>
    </row>
    <row r="28" spans="1:96" x14ac:dyDescent="0.25">
      <c r="A28" s="39"/>
      <c r="B28" s="39"/>
      <c r="C28" s="95"/>
      <c r="D28" s="95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39"/>
    </row>
    <row r="29" spans="1:96" x14ac:dyDescent="0.25">
      <c r="A29" s="39"/>
      <c r="B29" s="39"/>
      <c r="C29" s="39"/>
      <c r="D29" s="95"/>
      <c r="E29" s="101" t="str">
        <f>'Fixed inputs'!E189</f>
        <v>Mapping of MEAV asset categories to network levels</v>
      </c>
      <c r="F29" s="39"/>
      <c r="G29" s="101" t="str">
        <f>'Fixed inputs'!G190</f>
        <v>network level</v>
      </c>
      <c r="H29" s="110"/>
      <c r="I29" s="110"/>
      <c r="J29" s="132" t="str">
        <f>'Fixed inputs'!H190</f>
        <v>LV mains</v>
      </c>
      <c r="K29" s="132" t="str">
        <f>'Fixed inputs'!H191</f>
        <v>LV services</v>
      </c>
      <c r="L29" s="132" t="str">
        <f>'Fixed inputs'!H192</f>
        <v>LV mains</v>
      </c>
      <c r="M29" s="132" t="str">
        <f>'Fixed inputs'!H193</f>
        <v>LV mains</v>
      </c>
      <c r="N29" s="132" t="str">
        <f>'Fixed inputs'!H194</f>
        <v>LV mains</v>
      </c>
      <c r="O29" s="132" t="str">
        <f>'Fixed inputs'!H195</f>
        <v>LV mains</v>
      </c>
      <c r="P29" s="132" t="str">
        <f>'Fixed inputs'!H196</f>
        <v>LV services</v>
      </c>
      <c r="Q29" s="132" t="str">
        <f>'Fixed inputs'!H197</f>
        <v>LV mains</v>
      </c>
      <c r="R29" s="132" t="str">
        <f>'Fixed inputs'!H198</f>
        <v>LV mains</v>
      </c>
      <c r="S29" s="132" t="str">
        <f>'Fixed inputs'!H199</f>
        <v>LV mains</v>
      </c>
      <c r="T29" s="132" t="str">
        <f>'Fixed inputs'!H200</f>
        <v>LV mains</v>
      </c>
      <c r="U29" s="132" t="str">
        <f>'Fixed inputs'!H201</f>
        <v>LV mains</v>
      </c>
      <c r="V29" s="132" t="str">
        <f>'Fixed inputs'!H202</f>
        <v>LV mains</v>
      </c>
      <c r="W29" s="132" t="str">
        <f>'Fixed inputs'!H203</f>
        <v>HV</v>
      </c>
      <c r="X29" s="132" t="str">
        <f>'Fixed inputs'!H204</f>
        <v>HV</v>
      </c>
      <c r="Y29" s="132" t="str">
        <f>'Fixed inputs'!H205</f>
        <v>HV</v>
      </c>
      <c r="Z29" s="132" t="str">
        <f>'Fixed inputs'!H206</f>
        <v>HV</v>
      </c>
      <c r="AA29" s="132" t="str">
        <f>'Fixed inputs'!H207</f>
        <v>HV</v>
      </c>
      <c r="AB29" s="132" t="str">
        <f>'Fixed inputs'!H208</f>
        <v>HV</v>
      </c>
      <c r="AC29" s="132" t="str">
        <f>'Fixed inputs'!H209</f>
        <v>HV</v>
      </c>
      <c r="AD29" s="132" t="str">
        <f>'Fixed inputs'!H210</f>
        <v>HV</v>
      </c>
      <c r="AE29" s="132" t="str">
        <f>'Fixed inputs'!H211</f>
        <v>HV</v>
      </c>
      <c r="AF29" s="132" t="str">
        <f>'Fixed inputs'!H212</f>
        <v>HV</v>
      </c>
      <c r="AG29" s="132" t="str">
        <f>'Fixed inputs'!H213</f>
        <v>HV</v>
      </c>
      <c r="AH29" s="132" t="str">
        <f>'Fixed inputs'!H214</f>
        <v>HV</v>
      </c>
      <c r="AI29" s="132" t="str">
        <f>'Fixed inputs'!H215</f>
        <v>HV/LV</v>
      </c>
      <c r="AJ29" s="132" t="str">
        <f>'Fixed inputs'!H216</f>
        <v>HV/LV</v>
      </c>
      <c r="AK29" s="132" t="str">
        <f>'Fixed inputs'!H217</f>
        <v>HV</v>
      </c>
      <c r="AL29" s="132" t="str">
        <f>'Fixed inputs'!H218</f>
        <v>HV</v>
      </c>
      <c r="AM29" s="132" t="str">
        <f>'Fixed inputs'!H219</f>
        <v>HV</v>
      </c>
      <c r="AN29" s="132" t="str">
        <f>'Fixed inputs'!H220</f>
        <v>HV</v>
      </c>
      <c r="AO29" s="132" t="str">
        <f>'Fixed inputs'!H221</f>
        <v>HV</v>
      </c>
      <c r="AP29" s="132" t="str">
        <f>'Fixed inputs'!H222</f>
        <v>HV/LV</v>
      </c>
      <c r="AQ29" s="132" t="str">
        <f>'Fixed inputs'!H223</f>
        <v>HV/LV</v>
      </c>
      <c r="AR29" s="132" t="str">
        <f>'Fixed inputs'!H224</f>
        <v>HV</v>
      </c>
      <c r="AS29" s="132" t="str">
        <f>'Fixed inputs'!H225</f>
        <v>HV</v>
      </c>
      <c r="AT29" s="132" t="str">
        <f>'Fixed inputs'!H226</f>
        <v>HV/LV</v>
      </c>
      <c r="AU29" s="132" t="str">
        <f>'Fixed inputs'!H227</f>
        <v>HV/LV</v>
      </c>
      <c r="AV29" s="132" t="str">
        <f>'Fixed inputs'!H228</f>
        <v>HV/LV</v>
      </c>
      <c r="AW29" s="132" t="str">
        <f>'Fixed inputs'!H229</f>
        <v>HV/LV</v>
      </c>
      <c r="AX29" s="132" t="str">
        <f>'Fixed inputs'!H230</f>
        <v>EHV and 132kV</v>
      </c>
      <c r="AY29" s="132" t="str">
        <f>'Fixed inputs'!H231</f>
        <v>EHV and 132kV</v>
      </c>
      <c r="AZ29" s="132" t="str">
        <f>'Fixed inputs'!H232</f>
        <v>EHV and 132kV</v>
      </c>
      <c r="BA29" s="132" t="str">
        <f>'Fixed inputs'!H233</f>
        <v>EHV and 132kV</v>
      </c>
      <c r="BB29" s="132" t="str">
        <f>'Fixed inputs'!H234</f>
        <v>EHV and 132kV</v>
      </c>
      <c r="BC29" s="132" t="str">
        <f>'Fixed inputs'!H235</f>
        <v>EHV and 132kV</v>
      </c>
      <c r="BD29" s="132" t="str">
        <f>'Fixed inputs'!H236</f>
        <v>EHV and 132kV</v>
      </c>
      <c r="BE29" s="132" t="str">
        <f>'Fixed inputs'!H237</f>
        <v>EHV and 132kV</v>
      </c>
      <c r="BF29" s="132" t="str">
        <f>'Fixed inputs'!H238</f>
        <v>EHV and 132kV</v>
      </c>
      <c r="BG29" s="132" t="str">
        <f>'Fixed inputs'!H239</f>
        <v>EHV and 132kV</v>
      </c>
      <c r="BH29" s="132" t="str">
        <f>'Fixed inputs'!H240</f>
        <v>EHV and 132kV</v>
      </c>
      <c r="BI29" s="132" t="str">
        <f>'Fixed inputs'!H241</f>
        <v>EHV and 132kV</v>
      </c>
      <c r="BJ29" s="132" t="str">
        <f>'Fixed inputs'!H242</f>
        <v>EHV and 132kV</v>
      </c>
      <c r="BK29" s="132" t="str">
        <f>'Fixed inputs'!H243</f>
        <v>EHV and 132kV</v>
      </c>
      <c r="BL29" s="132" t="str">
        <f>'Fixed inputs'!H244</f>
        <v>EHV and 132kV</v>
      </c>
      <c r="BM29" s="132" t="str">
        <f>'Fixed inputs'!H245</f>
        <v>EHV and 132kV</v>
      </c>
      <c r="BN29" s="132" t="str">
        <f>'Fixed inputs'!H246</f>
        <v>EHV and 132kV</v>
      </c>
      <c r="BO29" s="132" t="str">
        <f>'Fixed inputs'!H247</f>
        <v>EHV and 132kV</v>
      </c>
      <c r="BP29" s="132" t="str">
        <f>'Fixed inputs'!H248</f>
        <v>EHV and 132kV</v>
      </c>
      <c r="BQ29" s="132" t="str">
        <f>'Fixed inputs'!H249</f>
        <v>EHV and 132kV</v>
      </c>
      <c r="BR29" s="132" t="str">
        <f>'Fixed inputs'!H250</f>
        <v>EHV and 132kV</v>
      </c>
      <c r="BS29" s="132" t="str">
        <f>'Fixed inputs'!H251</f>
        <v>EHV and 132kV</v>
      </c>
      <c r="BT29" s="132" t="str">
        <f>'Fixed inputs'!H252</f>
        <v>EHV and 132kV</v>
      </c>
      <c r="BU29" s="132" t="str">
        <f>'Fixed inputs'!H253</f>
        <v>EHV and 132kV</v>
      </c>
      <c r="BV29" s="132" t="str">
        <f>'Fixed inputs'!H254</f>
        <v>EHV and 132kV</v>
      </c>
      <c r="BW29" s="132" t="str">
        <f>'Fixed inputs'!H255</f>
        <v>EHV and 132kV</v>
      </c>
      <c r="BX29" s="132" t="str">
        <f>'Fixed inputs'!H256</f>
        <v>EHV and 132kV</v>
      </c>
      <c r="BY29" s="132" t="str">
        <f>'Fixed inputs'!H257</f>
        <v>EHV and 132kV</v>
      </c>
      <c r="BZ29" s="132" t="str">
        <f>'Fixed inputs'!H258</f>
        <v>EHV and 132kV</v>
      </c>
      <c r="CA29" s="132" t="str">
        <f>'Fixed inputs'!H259</f>
        <v>EHV and 132kV</v>
      </c>
      <c r="CB29" s="132" t="str">
        <f>'Fixed inputs'!H260</f>
        <v>EHV and 132kV</v>
      </c>
      <c r="CC29" s="132" t="str">
        <f>'Fixed inputs'!H261</f>
        <v>EHV and 132kV</v>
      </c>
      <c r="CD29" s="132" t="str">
        <f>'Fixed inputs'!H262</f>
        <v>EHV and 132kV</v>
      </c>
      <c r="CE29" s="132" t="str">
        <f>'Fixed inputs'!H263</f>
        <v>EHV and 132kV</v>
      </c>
      <c r="CF29" s="132" t="str">
        <f>'Fixed inputs'!H264</f>
        <v>EHV and 132kV</v>
      </c>
      <c r="CG29" s="132" t="str">
        <f>'Fixed inputs'!H265</f>
        <v>EHV and 132kV</v>
      </c>
      <c r="CH29" s="132" t="str">
        <f>'Fixed inputs'!H266</f>
        <v>EHV and 132kV</v>
      </c>
      <c r="CI29" s="132" t="str">
        <f>'Fixed inputs'!H267</f>
        <v>EHV and 132kV</v>
      </c>
      <c r="CJ29" s="132" t="str">
        <f>'Fixed inputs'!H268</f>
        <v>EHV and 132kV</v>
      </c>
      <c r="CK29" s="132" t="str">
        <f>'Fixed inputs'!H269</f>
        <v>EHV and 132kV</v>
      </c>
      <c r="CL29" s="132" t="str">
        <f>'Fixed inputs'!H270</f>
        <v>EHV and 132kV</v>
      </c>
      <c r="CM29" s="132" t="str">
        <f>'Fixed inputs'!H271</f>
        <v>EHV and 132kV</v>
      </c>
      <c r="CN29" s="132" t="str">
        <f>'Fixed inputs'!H272</f>
        <v>EHV and 132kV</v>
      </c>
      <c r="CO29" s="132" t="str">
        <f>'Fixed inputs'!H273</f>
        <v>HV</v>
      </c>
      <c r="CP29" s="132" t="str">
        <f>'Fixed inputs'!H274</f>
        <v>HV</v>
      </c>
      <c r="CQ29" s="65"/>
      <c r="CR29" s="39"/>
    </row>
    <row r="30" spans="1:9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39"/>
    </row>
    <row r="31" spans="1:96" x14ac:dyDescent="0.25">
      <c r="A31" s="101"/>
      <c r="B31" s="39"/>
      <c r="C31" s="39"/>
      <c r="D31" s="39"/>
      <c r="E31" s="98" t="s">
        <v>359</v>
      </c>
      <c r="F31" s="39"/>
      <c r="G31" s="39"/>
      <c r="H31" s="65"/>
      <c r="I31" s="112" t="s">
        <v>314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101" t="s">
        <v>569</v>
      </c>
    </row>
    <row r="32" spans="1:96" x14ac:dyDescent="0.25">
      <c r="A32" s="39"/>
      <c r="B32" s="39"/>
      <c r="C32" s="39"/>
      <c r="D32" s="39"/>
      <c r="E32" s="39"/>
      <c r="F32" s="99" t="s">
        <v>193</v>
      </c>
      <c r="G32" s="99" t="s">
        <v>191</v>
      </c>
      <c r="H32" s="118"/>
      <c r="I32" s="118"/>
      <c r="J32" s="118">
        <f>IF($F32 = J$29, 1, 0)</f>
        <v>0</v>
      </c>
      <c r="K32" s="118">
        <f t="shared" ref="K32:BV33" si="2">IF($F32 = K$29, 1, 0)</f>
        <v>1</v>
      </c>
      <c r="L32" s="118">
        <f t="shared" si="2"/>
        <v>0</v>
      </c>
      <c r="M32" s="118">
        <f t="shared" si="2"/>
        <v>0</v>
      </c>
      <c r="N32" s="118">
        <f t="shared" si="2"/>
        <v>0</v>
      </c>
      <c r="O32" s="118">
        <f t="shared" si="2"/>
        <v>0</v>
      </c>
      <c r="P32" s="118">
        <f t="shared" si="2"/>
        <v>1</v>
      </c>
      <c r="Q32" s="118">
        <f t="shared" si="2"/>
        <v>0</v>
      </c>
      <c r="R32" s="118">
        <f t="shared" si="2"/>
        <v>0</v>
      </c>
      <c r="S32" s="118">
        <f t="shared" si="2"/>
        <v>0</v>
      </c>
      <c r="T32" s="118">
        <f t="shared" si="2"/>
        <v>0</v>
      </c>
      <c r="U32" s="118">
        <f t="shared" si="2"/>
        <v>0</v>
      </c>
      <c r="V32" s="118">
        <f t="shared" si="2"/>
        <v>0</v>
      </c>
      <c r="W32" s="118">
        <f t="shared" si="2"/>
        <v>0</v>
      </c>
      <c r="X32" s="118">
        <f t="shared" si="2"/>
        <v>0</v>
      </c>
      <c r="Y32" s="118">
        <f t="shared" si="2"/>
        <v>0</v>
      </c>
      <c r="Z32" s="118">
        <f t="shared" si="2"/>
        <v>0</v>
      </c>
      <c r="AA32" s="118">
        <f t="shared" si="2"/>
        <v>0</v>
      </c>
      <c r="AB32" s="118">
        <f t="shared" si="2"/>
        <v>0</v>
      </c>
      <c r="AC32" s="118">
        <f t="shared" si="2"/>
        <v>0</v>
      </c>
      <c r="AD32" s="118">
        <f t="shared" si="2"/>
        <v>0</v>
      </c>
      <c r="AE32" s="118">
        <f t="shared" si="2"/>
        <v>0</v>
      </c>
      <c r="AF32" s="118">
        <f t="shared" si="2"/>
        <v>0</v>
      </c>
      <c r="AG32" s="118">
        <f t="shared" si="2"/>
        <v>0</v>
      </c>
      <c r="AH32" s="118">
        <f t="shared" si="2"/>
        <v>0</v>
      </c>
      <c r="AI32" s="118">
        <f t="shared" si="2"/>
        <v>0</v>
      </c>
      <c r="AJ32" s="118">
        <f t="shared" si="2"/>
        <v>0</v>
      </c>
      <c r="AK32" s="118">
        <f t="shared" si="2"/>
        <v>0</v>
      </c>
      <c r="AL32" s="118">
        <f t="shared" si="2"/>
        <v>0</v>
      </c>
      <c r="AM32" s="118">
        <f t="shared" si="2"/>
        <v>0</v>
      </c>
      <c r="AN32" s="118">
        <f t="shared" si="2"/>
        <v>0</v>
      </c>
      <c r="AO32" s="118">
        <f t="shared" si="2"/>
        <v>0</v>
      </c>
      <c r="AP32" s="118">
        <f t="shared" si="2"/>
        <v>0</v>
      </c>
      <c r="AQ32" s="118">
        <f t="shared" si="2"/>
        <v>0</v>
      </c>
      <c r="AR32" s="118">
        <f t="shared" si="2"/>
        <v>0</v>
      </c>
      <c r="AS32" s="118">
        <f t="shared" si="2"/>
        <v>0</v>
      </c>
      <c r="AT32" s="118">
        <f t="shared" si="2"/>
        <v>0</v>
      </c>
      <c r="AU32" s="118">
        <f t="shared" si="2"/>
        <v>0</v>
      </c>
      <c r="AV32" s="118">
        <f t="shared" si="2"/>
        <v>0</v>
      </c>
      <c r="AW32" s="118">
        <f t="shared" si="2"/>
        <v>0</v>
      </c>
      <c r="AX32" s="118">
        <f t="shared" si="2"/>
        <v>0</v>
      </c>
      <c r="AY32" s="118">
        <f t="shared" si="2"/>
        <v>0</v>
      </c>
      <c r="AZ32" s="118">
        <f t="shared" si="2"/>
        <v>0</v>
      </c>
      <c r="BA32" s="118">
        <f t="shared" si="2"/>
        <v>0</v>
      </c>
      <c r="BB32" s="118">
        <f t="shared" si="2"/>
        <v>0</v>
      </c>
      <c r="BC32" s="118">
        <f t="shared" si="2"/>
        <v>0</v>
      </c>
      <c r="BD32" s="118">
        <f t="shared" si="2"/>
        <v>0</v>
      </c>
      <c r="BE32" s="118">
        <f t="shared" si="2"/>
        <v>0</v>
      </c>
      <c r="BF32" s="118">
        <f t="shared" si="2"/>
        <v>0</v>
      </c>
      <c r="BG32" s="118">
        <f t="shared" si="2"/>
        <v>0</v>
      </c>
      <c r="BH32" s="118">
        <f t="shared" si="2"/>
        <v>0</v>
      </c>
      <c r="BI32" s="118">
        <f t="shared" si="2"/>
        <v>0</v>
      </c>
      <c r="BJ32" s="118">
        <f t="shared" si="2"/>
        <v>0</v>
      </c>
      <c r="BK32" s="118">
        <f t="shared" si="2"/>
        <v>0</v>
      </c>
      <c r="BL32" s="118">
        <f t="shared" si="2"/>
        <v>0</v>
      </c>
      <c r="BM32" s="118">
        <f t="shared" si="2"/>
        <v>0</v>
      </c>
      <c r="BN32" s="118">
        <f t="shared" si="2"/>
        <v>0</v>
      </c>
      <c r="BO32" s="118">
        <f t="shared" si="2"/>
        <v>0</v>
      </c>
      <c r="BP32" s="118">
        <f t="shared" si="2"/>
        <v>0</v>
      </c>
      <c r="BQ32" s="118">
        <f t="shared" si="2"/>
        <v>0</v>
      </c>
      <c r="BR32" s="118">
        <f t="shared" si="2"/>
        <v>0</v>
      </c>
      <c r="BS32" s="118">
        <f t="shared" si="2"/>
        <v>0</v>
      </c>
      <c r="BT32" s="118">
        <f t="shared" si="2"/>
        <v>0</v>
      </c>
      <c r="BU32" s="118">
        <f t="shared" si="2"/>
        <v>0</v>
      </c>
      <c r="BV32" s="118">
        <f t="shared" si="2"/>
        <v>0</v>
      </c>
      <c r="BW32" s="118">
        <f t="shared" ref="BW32:CP36" si="3">IF($F32 = BW$29, 1, 0)</f>
        <v>0</v>
      </c>
      <c r="BX32" s="118">
        <f t="shared" si="3"/>
        <v>0</v>
      </c>
      <c r="BY32" s="118">
        <f t="shared" si="3"/>
        <v>0</v>
      </c>
      <c r="BZ32" s="118">
        <f t="shared" si="3"/>
        <v>0</v>
      </c>
      <c r="CA32" s="118">
        <f t="shared" si="3"/>
        <v>0</v>
      </c>
      <c r="CB32" s="118">
        <f t="shared" si="3"/>
        <v>0</v>
      </c>
      <c r="CC32" s="118">
        <f t="shared" si="3"/>
        <v>0</v>
      </c>
      <c r="CD32" s="118">
        <f t="shared" si="3"/>
        <v>0</v>
      </c>
      <c r="CE32" s="118">
        <f t="shared" si="3"/>
        <v>0</v>
      </c>
      <c r="CF32" s="118">
        <f t="shared" si="3"/>
        <v>0</v>
      </c>
      <c r="CG32" s="118">
        <f t="shared" si="3"/>
        <v>0</v>
      </c>
      <c r="CH32" s="118">
        <f t="shared" si="3"/>
        <v>0</v>
      </c>
      <c r="CI32" s="118">
        <f t="shared" si="3"/>
        <v>0</v>
      </c>
      <c r="CJ32" s="118">
        <f t="shared" si="3"/>
        <v>0</v>
      </c>
      <c r="CK32" s="118">
        <f t="shared" si="3"/>
        <v>0</v>
      </c>
      <c r="CL32" s="118">
        <f t="shared" si="3"/>
        <v>0</v>
      </c>
      <c r="CM32" s="118">
        <f t="shared" si="3"/>
        <v>0</v>
      </c>
      <c r="CN32" s="118">
        <f t="shared" si="3"/>
        <v>0</v>
      </c>
      <c r="CO32" s="118">
        <f t="shared" si="3"/>
        <v>0</v>
      </c>
      <c r="CP32" s="118">
        <f t="shared" si="3"/>
        <v>0</v>
      </c>
      <c r="CQ32" s="65"/>
      <c r="CR32" s="39"/>
    </row>
    <row r="33" spans="1:96" x14ac:dyDescent="0.25">
      <c r="A33" s="39"/>
      <c r="B33" s="39"/>
      <c r="C33" s="39"/>
      <c r="D33" s="39"/>
      <c r="E33" s="39"/>
      <c r="F33" s="101" t="s">
        <v>194</v>
      </c>
      <c r="G33" s="101" t="s">
        <v>191</v>
      </c>
      <c r="H33" s="116"/>
      <c r="I33" s="116"/>
      <c r="J33" s="116">
        <f>IF($F33 = J$29, 1, 0)</f>
        <v>1</v>
      </c>
      <c r="K33" s="116">
        <f t="shared" ref="K33:Y33" si="4">IF($F33 = K$29, 1, 0)</f>
        <v>0</v>
      </c>
      <c r="L33" s="116">
        <f t="shared" si="4"/>
        <v>1</v>
      </c>
      <c r="M33" s="116">
        <f t="shared" si="4"/>
        <v>1</v>
      </c>
      <c r="N33" s="116">
        <f t="shared" si="4"/>
        <v>1</v>
      </c>
      <c r="O33" s="116">
        <f t="shared" si="4"/>
        <v>1</v>
      </c>
      <c r="P33" s="116">
        <f t="shared" si="4"/>
        <v>0</v>
      </c>
      <c r="Q33" s="116">
        <f t="shared" si="4"/>
        <v>1</v>
      </c>
      <c r="R33" s="116">
        <f t="shared" si="4"/>
        <v>1</v>
      </c>
      <c r="S33" s="116">
        <f t="shared" si="4"/>
        <v>1</v>
      </c>
      <c r="T33" s="116">
        <f t="shared" si="4"/>
        <v>1</v>
      </c>
      <c r="U33" s="116">
        <f t="shared" si="4"/>
        <v>1</v>
      </c>
      <c r="V33" s="116">
        <f t="shared" si="4"/>
        <v>1</v>
      </c>
      <c r="W33" s="116">
        <f t="shared" si="4"/>
        <v>0</v>
      </c>
      <c r="X33" s="116">
        <f t="shared" si="4"/>
        <v>0</v>
      </c>
      <c r="Y33" s="116">
        <f t="shared" si="4"/>
        <v>0</v>
      </c>
      <c r="Z33" s="116">
        <f t="shared" si="2"/>
        <v>0</v>
      </c>
      <c r="AA33" s="116">
        <f t="shared" si="2"/>
        <v>0</v>
      </c>
      <c r="AB33" s="116">
        <f t="shared" si="2"/>
        <v>0</v>
      </c>
      <c r="AC33" s="116">
        <f t="shared" si="2"/>
        <v>0</v>
      </c>
      <c r="AD33" s="116">
        <f t="shared" si="2"/>
        <v>0</v>
      </c>
      <c r="AE33" s="116">
        <f t="shared" si="2"/>
        <v>0</v>
      </c>
      <c r="AF33" s="116">
        <f t="shared" si="2"/>
        <v>0</v>
      </c>
      <c r="AG33" s="116">
        <f t="shared" si="2"/>
        <v>0</v>
      </c>
      <c r="AH33" s="116">
        <f t="shared" si="2"/>
        <v>0</v>
      </c>
      <c r="AI33" s="116">
        <f t="shared" si="2"/>
        <v>0</v>
      </c>
      <c r="AJ33" s="116">
        <f t="shared" si="2"/>
        <v>0</v>
      </c>
      <c r="AK33" s="116">
        <f t="shared" si="2"/>
        <v>0</v>
      </c>
      <c r="AL33" s="116">
        <f t="shared" si="2"/>
        <v>0</v>
      </c>
      <c r="AM33" s="116">
        <f t="shared" si="2"/>
        <v>0</v>
      </c>
      <c r="AN33" s="116">
        <f t="shared" si="2"/>
        <v>0</v>
      </c>
      <c r="AO33" s="116">
        <f t="shared" si="2"/>
        <v>0</v>
      </c>
      <c r="AP33" s="116">
        <f t="shared" si="2"/>
        <v>0</v>
      </c>
      <c r="AQ33" s="116">
        <f t="shared" si="2"/>
        <v>0</v>
      </c>
      <c r="AR33" s="116">
        <f t="shared" si="2"/>
        <v>0</v>
      </c>
      <c r="AS33" s="116">
        <f t="shared" si="2"/>
        <v>0</v>
      </c>
      <c r="AT33" s="116">
        <f t="shared" si="2"/>
        <v>0</v>
      </c>
      <c r="AU33" s="116">
        <f t="shared" si="2"/>
        <v>0</v>
      </c>
      <c r="AV33" s="116">
        <f t="shared" si="2"/>
        <v>0</v>
      </c>
      <c r="AW33" s="116">
        <f t="shared" si="2"/>
        <v>0</v>
      </c>
      <c r="AX33" s="116">
        <f t="shared" si="2"/>
        <v>0</v>
      </c>
      <c r="AY33" s="116">
        <f t="shared" si="2"/>
        <v>0</v>
      </c>
      <c r="AZ33" s="116">
        <f t="shared" si="2"/>
        <v>0</v>
      </c>
      <c r="BA33" s="116">
        <f t="shared" si="2"/>
        <v>0</v>
      </c>
      <c r="BB33" s="116">
        <f t="shared" si="2"/>
        <v>0</v>
      </c>
      <c r="BC33" s="116">
        <f t="shared" si="2"/>
        <v>0</v>
      </c>
      <c r="BD33" s="116">
        <f t="shared" si="2"/>
        <v>0</v>
      </c>
      <c r="BE33" s="116">
        <f t="shared" si="2"/>
        <v>0</v>
      </c>
      <c r="BF33" s="116">
        <f t="shared" si="2"/>
        <v>0</v>
      </c>
      <c r="BG33" s="116">
        <f t="shared" si="2"/>
        <v>0</v>
      </c>
      <c r="BH33" s="116">
        <f t="shared" si="2"/>
        <v>0</v>
      </c>
      <c r="BI33" s="116">
        <f t="shared" si="2"/>
        <v>0</v>
      </c>
      <c r="BJ33" s="116">
        <f t="shared" si="2"/>
        <v>0</v>
      </c>
      <c r="BK33" s="116">
        <f t="shared" si="2"/>
        <v>0</v>
      </c>
      <c r="BL33" s="116">
        <f t="shared" si="2"/>
        <v>0</v>
      </c>
      <c r="BM33" s="116">
        <f t="shared" si="2"/>
        <v>0</v>
      </c>
      <c r="BN33" s="116">
        <f t="shared" si="2"/>
        <v>0</v>
      </c>
      <c r="BO33" s="116">
        <f t="shared" si="2"/>
        <v>0</v>
      </c>
      <c r="BP33" s="116">
        <f t="shared" si="2"/>
        <v>0</v>
      </c>
      <c r="BQ33" s="116">
        <f t="shared" si="2"/>
        <v>0</v>
      </c>
      <c r="BR33" s="116">
        <f t="shared" si="2"/>
        <v>0</v>
      </c>
      <c r="BS33" s="116">
        <f t="shared" si="2"/>
        <v>0</v>
      </c>
      <c r="BT33" s="116">
        <f t="shared" si="2"/>
        <v>0</v>
      </c>
      <c r="BU33" s="116">
        <f t="shared" si="2"/>
        <v>0</v>
      </c>
      <c r="BV33" s="116">
        <f t="shared" si="2"/>
        <v>0</v>
      </c>
      <c r="BW33" s="116">
        <f t="shared" si="3"/>
        <v>0</v>
      </c>
      <c r="BX33" s="116">
        <f t="shared" si="3"/>
        <v>0</v>
      </c>
      <c r="BY33" s="116">
        <f t="shared" si="3"/>
        <v>0</v>
      </c>
      <c r="BZ33" s="116">
        <f t="shared" si="3"/>
        <v>0</v>
      </c>
      <c r="CA33" s="116">
        <f t="shared" si="3"/>
        <v>0</v>
      </c>
      <c r="CB33" s="116">
        <f t="shared" si="3"/>
        <v>0</v>
      </c>
      <c r="CC33" s="116">
        <f t="shared" si="3"/>
        <v>0</v>
      </c>
      <c r="CD33" s="116">
        <f t="shared" si="3"/>
        <v>0</v>
      </c>
      <c r="CE33" s="116">
        <f t="shared" si="3"/>
        <v>0</v>
      </c>
      <c r="CF33" s="116">
        <f t="shared" si="3"/>
        <v>0</v>
      </c>
      <c r="CG33" s="116">
        <f t="shared" si="3"/>
        <v>0</v>
      </c>
      <c r="CH33" s="116">
        <f t="shared" si="3"/>
        <v>0</v>
      </c>
      <c r="CI33" s="116">
        <f t="shared" si="3"/>
        <v>0</v>
      </c>
      <c r="CJ33" s="116">
        <f t="shared" si="3"/>
        <v>0</v>
      </c>
      <c r="CK33" s="116">
        <f t="shared" si="3"/>
        <v>0</v>
      </c>
      <c r="CL33" s="116">
        <f t="shared" si="3"/>
        <v>0</v>
      </c>
      <c r="CM33" s="116">
        <f t="shared" si="3"/>
        <v>0</v>
      </c>
      <c r="CN33" s="116">
        <f t="shared" si="3"/>
        <v>0</v>
      </c>
      <c r="CO33" s="116">
        <f t="shared" si="3"/>
        <v>0</v>
      </c>
      <c r="CP33" s="116">
        <f t="shared" si="3"/>
        <v>0</v>
      </c>
      <c r="CQ33" s="65"/>
      <c r="CR33" s="39"/>
    </row>
    <row r="34" spans="1:96" x14ac:dyDescent="0.25">
      <c r="A34" s="39"/>
      <c r="B34" s="39"/>
      <c r="C34" s="39"/>
      <c r="D34" s="39"/>
      <c r="E34" s="39"/>
      <c r="F34" s="101" t="s">
        <v>41</v>
      </c>
      <c r="G34" s="101" t="s">
        <v>191</v>
      </c>
      <c r="H34" s="116"/>
      <c r="I34" s="116"/>
      <c r="J34" s="116">
        <f>IF($F34 = J$29, 1, 0)</f>
        <v>0</v>
      </c>
      <c r="K34" s="116">
        <f t="shared" ref="K34:BV36" si="5">IF($F34 = K$29, 1, 0)</f>
        <v>0</v>
      </c>
      <c r="L34" s="116">
        <f t="shared" si="5"/>
        <v>0</v>
      </c>
      <c r="M34" s="116">
        <f t="shared" si="5"/>
        <v>0</v>
      </c>
      <c r="N34" s="116">
        <f t="shared" si="5"/>
        <v>0</v>
      </c>
      <c r="O34" s="116">
        <f t="shared" si="5"/>
        <v>0</v>
      </c>
      <c r="P34" s="116">
        <f t="shared" si="5"/>
        <v>0</v>
      </c>
      <c r="Q34" s="116">
        <f t="shared" si="5"/>
        <v>0</v>
      </c>
      <c r="R34" s="116">
        <f t="shared" si="5"/>
        <v>0</v>
      </c>
      <c r="S34" s="116">
        <f t="shared" si="5"/>
        <v>0</v>
      </c>
      <c r="T34" s="116">
        <f t="shared" si="5"/>
        <v>0</v>
      </c>
      <c r="U34" s="116">
        <f t="shared" si="5"/>
        <v>0</v>
      </c>
      <c r="V34" s="116">
        <f t="shared" si="5"/>
        <v>0</v>
      </c>
      <c r="W34" s="116">
        <f t="shared" si="5"/>
        <v>0</v>
      </c>
      <c r="X34" s="116">
        <f t="shared" si="5"/>
        <v>0</v>
      </c>
      <c r="Y34" s="116">
        <f t="shared" si="5"/>
        <v>0</v>
      </c>
      <c r="Z34" s="116">
        <f t="shared" si="5"/>
        <v>0</v>
      </c>
      <c r="AA34" s="116">
        <f t="shared" si="5"/>
        <v>0</v>
      </c>
      <c r="AB34" s="116">
        <f t="shared" si="5"/>
        <v>0</v>
      </c>
      <c r="AC34" s="116">
        <f t="shared" si="5"/>
        <v>0</v>
      </c>
      <c r="AD34" s="116">
        <f t="shared" si="5"/>
        <v>0</v>
      </c>
      <c r="AE34" s="116">
        <f t="shared" si="5"/>
        <v>0</v>
      </c>
      <c r="AF34" s="116">
        <f t="shared" si="5"/>
        <v>0</v>
      </c>
      <c r="AG34" s="116">
        <f t="shared" si="5"/>
        <v>0</v>
      </c>
      <c r="AH34" s="116">
        <f t="shared" si="5"/>
        <v>0</v>
      </c>
      <c r="AI34" s="116">
        <f t="shared" si="5"/>
        <v>1</v>
      </c>
      <c r="AJ34" s="116">
        <f t="shared" si="5"/>
        <v>1</v>
      </c>
      <c r="AK34" s="116">
        <f t="shared" si="5"/>
        <v>0</v>
      </c>
      <c r="AL34" s="116">
        <f t="shared" si="5"/>
        <v>0</v>
      </c>
      <c r="AM34" s="116">
        <f t="shared" si="5"/>
        <v>0</v>
      </c>
      <c r="AN34" s="116">
        <f t="shared" si="5"/>
        <v>0</v>
      </c>
      <c r="AO34" s="116">
        <f t="shared" si="5"/>
        <v>0</v>
      </c>
      <c r="AP34" s="116">
        <f t="shared" si="5"/>
        <v>1</v>
      </c>
      <c r="AQ34" s="116">
        <f t="shared" si="5"/>
        <v>1</v>
      </c>
      <c r="AR34" s="116">
        <f t="shared" si="5"/>
        <v>0</v>
      </c>
      <c r="AS34" s="116">
        <f t="shared" si="5"/>
        <v>0</v>
      </c>
      <c r="AT34" s="116">
        <f t="shared" si="5"/>
        <v>1</v>
      </c>
      <c r="AU34" s="116">
        <f t="shared" si="5"/>
        <v>1</v>
      </c>
      <c r="AV34" s="116">
        <f t="shared" si="5"/>
        <v>1</v>
      </c>
      <c r="AW34" s="116">
        <f t="shared" si="5"/>
        <v>1</v>
      </c>
      <c r="AX34" s="116">
        <f t="shared" si="5"/>
        <v>0</v>
      </c>
      <c r="AY34" s="116">
        <f t="shared" si="5"/>
        <v>0</v>
      </c>
      <c r="AZ34" s="116">
        <f t="shared" si="5"/>
        <v>0</v>
      </c>
      <c r="BA34" s="116">
        <f t="shared" si="5"/>
        <v>0</v>
      </c>
      <c r="BB34" s="116">
        <f t="shared" si="5"/>
        <v>0</v>
      </c>
      <c r="BC34" s="116">
        <f t="shared" si="5"/>
        <v>0</v>
      </c>
      <c r="BD34" s="116">
        <f t="shared" si="5"/>
        <v>0</v>
      </c>
      <c r="BE34" s="116">
        <f t="shared" si="5"/>
        <v>0</v>
      </c>
      <c r="BF34" s="116">
        <f t="shared" si="5"/>
        <v>0</v>
      </c>
      <c r="BG34" s="116">
        <f t="shared" si="5"/>
        <v>0</v>
      </c>
      <c r="BH34" s="116">
        <f t="shared" si="5"/>
        <v>0</v>
      </c>
      <c r="BI34" s="116">
        <f t="shared" si="5"/>
        <v>0</v>
      </c>
      <c r="BJ34" s="116">
        <f t="shared" si="5"/>
        <v>0</v>
      </c>
      <c r="BK34" s="116">
        <f t="shared" si="5"/>
        <v>0</v>
      </c>
      <c r="BL34" s="116">
        <f t="shared" si="5"/>
        <v>0</v>
      </c>
      <c r="BM34" s="116">
        <f t="shared" si="5"/>
        <v>0</v>
      </c>
      <c r="BN34" s="116">
        <f t="shared" si="5"/>
        <v>0</v>
      </c>
      <c r="BO34" s="116">
        <f t="shared" si="5"/>
        <v>0</v>
      </c>
      <c r="BP34" s="116">
        <f t="shared" si="5"/>
        <v>0</v>
      </c>
      <c r="BQ34" s="116">
        <f t="shared" si="5"/>
        <v>0</v>
      </c>
      <c r="BR34" s="116">
        <f t="shared" si="5"/>
        <v>0</v>
      </c>
      <c r="BS34" s="116">
        <f t="shared" si="5"/>
        <v>0</v>
      </c>
      <c r="BT34" s="116">
        <f t="shared" si="5"/>
        <v>0</v>
      </c>
      <c r="BU34" s="116">
        <f t="shared" si="5"/>
        <v>0</v>
      </c>
      <c r="BV34" s="116">
        <f t="shared" si="5"/>
        <v>0</v>
      </c>
      <c r="BW34" s="116">
        <f t="shared" si="3"/>
        <v>0</v>
      </c>
      <c r="BX34" s="116">
        <f t="shared" si="3"/>
        <v>0</v>
      </c>
      <c r="BY34" s="116">
        <f t="shared" si="3"/>
        <v>0</v>
      </c>
      <c r="BZ34" s="116">
        <f t="shared" si="3"/>
        <v>0</v>
      </c>
      <c r="CA34" s="116">
        <f t="shared" si="3"/>
        <v>0</v>
      </c>
      <c r="CB34" s="116">
        <f t="shared" si="3"/>
        <v>0</v>
      </c>
      <c r="CC34" s="116">
        <f t="shared" si="3"/>
        <v>0</v>
      </c>
      <c r="CD34" s="116">
        <f t="shared" si="3"/>
        <v>0</v>
      </c>
      <c r="CE34" s="116">
        <f t="shared" si="3"/>
        <v>0</v>
      </c>
      <c r="CF34" s="116">
        <f t="shared" si="3"/>
        <v>0</v>
      </c>
      <c r="CG34" s="116">
        <f t="shared" si="3"/>
        <v>0</v>
      </c>
      <c r="CH34" s="116">
        <f t="shared" si="3"/>
        <v>0</v>
      </c>
      <c r="CI34" s="116">
        <f t="shared" si="3"/>
        <v>0</v>
      </c>
      <c r="CJ34" s="116">
        <f t="shared" si="3"/>
        <v>0</v>
      </c>
      <c r="CK34" s="116">
        <f t="shared" si="3"/>
        <v>0</v>
      </c>
      <c r="CL34" s="116">
        <f t="shared" si="3"/>
        <v>0</v>
      </c>
      <c r="CM34" s="116">
        <f t="shared" si="3"/>
        <v>0</v>
      </c>
      <c r="CN34" s="116">
        <f t="shared" si="3"/>
        <v>0</v>
      </c>
      <c r="CO34" s="116">
        <f t="shared" si="3"/>
        <v>0</v>
      </c>
      <c r="CP34" s="116">
        <f t="shared" si="3"/>
        <v>0</v>
      </c>
      <c r="CQ34" s="65"/>
      <c r="CR34" s="39"/>
    </row>
    <row r="35" spans="1:96" x14ac:dyDescent="0.25">
      <c r="A35" s="39"/>
      <c r="B35" s="39"/>
      <c r="C35" s="39"/>
      <c r="D35" s="39"/>
      <c r="E35" s="39"/>
      <c r="F35" s="101" t="s">
        <v>40</v>
      </c>
      <c r="G35" s="101" t="s">
        <v>191</v>
      </c>
      <c r="H35" s="116"/>
      <c r="I35" s="116"/>
      <c r="J35" s="116">
        <f>IF($F35 = J$29, 1, 0)</f>
        <v>0</v>
      </c>
      <c r="K35" s="116">
        <f t="shared" si="5"/>
        <v>0</v>
      </c>
      <c r="L35" s="116">
        <f t="shared" si="5"/>
        <v>0</v>
      </c>
      <c r="M35" s="116">
        <f t="shared" si="5"/>
        <v>0</v>
      </c>
      <c r="N35" s="116">
        <f t="shared" si="5"/>
        <v>0</v>
      </c>
      <c r="O35" s="116">
        <f t="shared" si="5"/>
        <v>0</v>
      </c>
      <c r="P35" s="116">
        <f t="shared" si="5"/>
        <v>0</v>
      </c>
      <c r="Q35" s="116">
        <f t="shared" si="5"/>
        <v>0</v>
      </c>
      <c r="R35" s="116">
        <f t="shared" si="5"/>
        <v>0</v>
      </c>
      <c r="S35" s="116">
        <f t="shared" si="5"/>
        <v>0</v>
      </c>
      <c r="T35" s="116">
        <f t="shared" si="5"/>
        <v>0</v>
      </c>
      <c r="U35" s="116">
        <f t="shared" si="5"/>
        <v>0</v>
      </c>
      <c r="V35" s="116">
        <f t="shared" si="5"/>
        <v>0</v>
      </c>
      <c r="W35" s="116">
        <f t="shared" si="5"/>
        <v>1</v>
      </c>
      <c r="X35" s="116">
        <f t="shared" si="5"/>
        <v>1</v>
      </c>
      <c r="Y35" s="116">
        <f t="shared" si="5"/>
        <v>1</v>
      </c>
      <c r="Z35" s="116">
        <f t="shared" si="5"/>
        <v>1</v>
      </c>
      <c r="AA35" s="116">
        <f t="shared" si="5"/>
        <v>1</v>
      </c>
      <c r="AB35" s="116">
        <f t="shared" si="5"/>
        <v>1</v>
      </c>
      <c r="AC35" s="116">
        <f t="shared" si="5"/>
        <v>1</v>
      </c>
      <c r="AD35" s="116">
        <f t="shared" si="5"/>
        <v>1</v>
      </c>
      <c r="AE35" s="116">
        <f t="shared" si="5"/>
        <v>1</v>
      </c>
      <c r="AF35" s="116">
        <f t="shared" si="5"/>
        <v>1</v>
      </c>
      <c r="AG35" s="116">
        <f t="shared" si="5"/>
        <v>1</v>
      </c>
      <c r="AH35" s="116">
        <f t="shared" si="5"/>
        <v>1</v>
      </c>
      <c r="AI35" s="116">
        <f t="shared" si="5"/>
        <v>0</v>
      </c>
      <c r="AJ35" s="116">
        <f t="shared" si="5"/>
        <v>0</v>
      </c>
      <c r="AK35" s="116">
        <f t="shared" si="5"/>
        <v>1</v>
      </c>
      <c r="AL35" s="116">
        <f t="shared" si="5"/>
        <v>1</v>
      </c>
      <c r="AM35" s="116">
        <f t="shared" si="5"/>
        <v>1</v>
      </c>
      <c r="AN35" s="116">
        <f t="shared" si="5"/>
        <v>1</v>
      </c>
      <c r="AO35" s="116">
        <f t="shared" si="5"/>
        <v>1</v>
      </c>
      <c r="AP35" s="116">
        <f t="shared" si="5"/>
        <v>0</v>
      </c>
      <c r="AQ35" s="116">
        <f t="shared" si="5"/>
        <v>0</v>
      </c>
      <c r="AR35" s="116">
        <f t="shared" si="5"/>
        <v>1</v>
      </c>
      <c r="AS35" s="116">
        <f t="shared" si="5"/>
        <v>1</v>
      </c>
      <c r="AT35" s="116">
        <f t="shared" si="5"/>
        <v>0</v>
      </c>
      <c r="AU35" s="116">
        <f t="shared" si="5"/>
        <v>0</v>
      </c>
      <c r="AV35" s="116">
        <f t="shared" si="5"/>
        <v>0</v>
      </c>
      <c r="AW35" s="116">
        <f t="shared" si="5"/>
        <v>0</v>
      </c>
      <c r="AX35" s="116">
        <f t="shared" si="5"/>
        <v>0</v>
      </c>
      <c r="AY35" s="116">
        <f t="shared" si="5"/>
        <v>0</v>
      </c>
      <c r="AZ35" s="116">
        <f t="shared" si="5"/>
        <v>0</v>
      </c>
      <c r="BA35" s="116">
        <f t="shared" si="5"/>
        <v>0</v>
      </c>
      <c r="BB35" s="116">
        <f t="shared" si="5"/>
        <v>0</v>
      </c>
      <c r="BC35" s="116">
        <f t="shared" si="5"/>
        <v>0</v>
      </c>
      <c r="BD35" s="116">
        <f t="shared" si="5"/>
        <v>0</v>
      </c>
      <c r="BE35" s="116">
        <f t="shared" si="5"/>
        <v>0</v>
      </c>
      <c r="BF35" s="116">
        <f t="shared" si="5"/>
        <v>0</v>
      </c>
      <c r="BG35" s="116">
        <f t="shared" si="5"/>
        <v>0</v>
      </c>
      <c r="BH35" s="116">
        <f t="shared" si="5"/>
        <v>0</v>
      </c>
      <c r="BI35" s="116">
        <f t="shared" si="5"/>
        <v>0</v>
      </c>
      <c r="BJ35" s="116">
        <f t="shared" si="5"/>
        <v>0</v>
      </c>
      <c r="BK35" s="116">
        <f t="shared" si="5"/>
        <v>0</v>
      </c>
      <c r="BL35" s="116">
        <f t="shared" si="5"/>
        <v>0</v>
      </c>
      <c r="BM35" s="116">
        <f t="shared" si="5"/>
        <v>0</v>
      </c>
      <c r="BN35" s="116">
        <f t="shared" si="5"/>
        <v>0</v>
      </c>
      <c r="BO35" s="116">
        <f t="shared" si="5"/>
        <v>0</v>
      </c>
      <c r="BP35" s="116">
        <f t="shared" si="5"/>
        <v>0</v>
      </c>
      <c r="BQ35" s="116">
        <f t="shared" si="5"/>
        <v>0</v>
      </c>
      <c r="BR35" s="116">
        <f t="shared" si="5"/>
        <v>0</v>
      </c>
      <c r="BS35" s="116">
        <f t="shared" si="5"/>
        <v>0</v>
      </c>
      <c r="BT35" s="116">
        <f t="shared" si="5"/>
        <v>0</v>
      </c>
      <c r="BU35" s="116">
        <f t="shared" si="5"/>
        <v>0</v>
      </c>
      <c r="BV35" s="116">
        <f t="shared" si="5"/>
        <v>0</v>
      </c>
      <c r="BW35" s="116">
        <f t="shared" si="3"/>
        <v>0</v>
      </c>
      <c r="BX35" s="116">
        <f t="shared" si="3"/>
        <v>0</v>
      </c>
      <c r="BY35" s="116">
        <f t="shared" si="3"/>
        <v>0</v>
      </c>
      <c r="BZ35" s="116">
        <f t="shared" si="3"/>
        <v>0</v>
      </c>
      <c r="CA35" s="116">
        <f t="shared" si="3"/>
        <v>0</v>
      </c>
      <c r="CB35" s="116">
        <f t="shared" si="3"/>
        <v>0</v>
      </c>
      <c r="CC35" s="116">
        <f t="shared" si="3"/>
        <v>0</v>
      </c>
      <c r="CD35" s="116">
        <f t="shared" si="3"/>
        <v>0</v>
      </c>
      <c r="CE35" s="116">
        <f t="shared" si="3"/>
        <v>0</v>
      </c>
      <c r="CF35" s="116">
        <f t="shared" si="3"/>
        <v>0</v>
      </c>
      <c r="CG35" s="116">
        <f t="shared" si="3"/>
        <v>0</v>
      </c>
      <c r="CH35" s="116">
        <f t="shared" si="3"/>
        <v>0</v>
      </c>
      <c r="CI35" s="116">
        <f t="shared" si="3"/>
        <v>0</v>
      </c>
      <c r="CJ35" s="116">
        <f t="shared" si="3"/>
        <v>0</v>
      </c>
      <c r="CK35" s="116">
        <f t="shared" si="3"/>
        <v>0</v>
      </c>
      <c r="CL35" s="116">
        <f t="shared" si="3"/>
        <v>0</v>
      </c>
      <c r="CM35" s="116">
        <f t="shared" si="3"/>
        <v>0</v>
      </c>
      <c r="CN35" s="116">
        <f t="shared" si="3"/>
        <v>0</v>
      </c>
      <c r="CO35" s="116">
        <f t="shared" si="3"/>
        <v>1</v>
      </c>
      <c r="CP35" s="116">
        <f t="shared" si="3"/>
        <v>1</v>
      </c>
      <c r="CQ35" s="65"/>
      <c r="CR35" s="39"/>
    </row>
    <row r="36" spans="1:96" x14ac:dyDescent="0.25">
      <c r="A36" s="39"/>
      <c r="B36" s="39"/>
      <c r="C36" s="39"/>
      <c r="D36" s="39"/>
      <c r="E36" s="39"/>
      <c r="F36" s="103" t="s">
        <v>166</v>
      </c>
      <c r="G36" s="103" t="s">
        <v>191</v>
      </c>
      <c r="H36" s="120"/>
      <c r="I36" s="121"/>
      <c r="J36" s="121">
        <f>IF($F36 = J$29, 1, 0)</f>
        <v>0</v>
      </c>
      <c r="K36" s="121">
        <f t="shared" si="5"/>
        <v>0</v>
      </c>
      <c r="L36" s="121">
        <f t="shared" si="5"/>
        <v>0</v>
      </c>
      <c r="M36" s="121">
        <f t="shared" si="5"/>
        <v>0</v>
      </c>
      <c r="N36" s="121">
        <f t="shared" si="5"/>
        <v>0</v>
      </c>
      <c r="O36" s="121">
        <f t="shared" si="5"/>
        <v>0</v>
      </c>
      <c r="P36" s="121">
        <f t="shared" si="5"/>
        <v>0</v>
      </c>
      <c r="Q36" s="121">
        <f t="shared" si="5"/>
        <v>0</v>
      </c>
      <c r="R36" s="121">
        <f t="shared" si="5"/>
        <v>0</v>
      </c>
      <c r="S36" s="121">
        <f t="shared" si="5"/>
        <v>0</v>
      </c>
      <c r="T36" s="121">
        <f t="shared" si="5"/>
        <v>0</v>
      </c>
      <c r="U36" s="121">
        <f t="shared" si="5"/>
        <v>0</v>
      </c>
      <c r="V36" s="121">
        <f t="shared" si="5"/>
        <v>0</v>
      </c>
      <c r="W36" s="121">
        <f t="shared" si="5"/>
        <v>0</v>
      </c>
      <c r="X36" s="121">
        <f t="shared" si="5"/>
        <v>0</v>
      </c>
      <c r="Y36" s="121">
        <f t="shared" si="5"/>
        <v>0</v>
      </c>
      <c r="Z36" s="121">
        <f t="shared" si="5"/>
        <v>0</v>
      </c>
      <c r="AA36" s="121">
        <f t="shared" si="5"/>
        <v>0</v>
      </c>
      <c r="AB36" s="121">
        <f t="shared" si="5"/>
        <v>0</v>
      </c>
      <c r="AC36" s="121">
        <f t="shared" si="5"/>
        <v>0</v>
      </c>
      <c r="AD36" s="121">
        <f t="shared" si="5"/>
        <v>0</v>
      </c>
      <c r="AE36" s="121">
        <f t="shared" si="5"/>
        <v>0</v>
      </c>
      <c r="AF36" s="121">
        <f t="shared" si="5"/>
        <v>0</v>
      </c>
      <c r="AG36" s="121">
        <f t="shared" si="5"/>
        <v>0</v>
      </c>
      <c r="AH36" s="121">
        <f t="shared" si="5"/>
        <v>0</v>
      </c>
      <c r="AI36" s="121">
        <f t="shared" si="5"/>
        <v>0</v>
      </c>
      <c r="AJ36" s="121">
        <f t="shared" si="5"/>
        <v>0</v>
      </c>
      <c r="AK36" s="121">
        <f t="shared" si="5"/>
        <v>0</v>
      </c>
      <c r="AL36" s="121">
        <f t="shared" si="5"/>
        <v>0</v>
      </c>
      <c r="AM36" s="121">
        <f t="shared" si="5"/>
        <v>0</v>
      </c>
      <c r="AN36" s="121">
        <f t="shared" si="5"/>
        <v>0</v>
      </c>
      <c r="AO36" s="121">
        <f t="shared" si="5"/>
        <v>0</v>
      </c>
      <c r="AP36" s="121">
        <f t="shared" si="5"/>
        <v>0</v>
      </c>
      <c r="AQ36" s="121">
        <f t="shared" si="5"/>
        <v>0</v>
      </c>
      <c r="AR36" s="121">
        <f t="shared" si="5"/>
        <v>0</v>
      </c>
      <c r="AS36" s="121">
        <f t="shared" si="5"/>
        <v>0</v>
      </c>
      <c r="AT36" s="121">
        <f t="shared" si="5"/>
        <v>0</v>
      </c>
      <c r="AU36" s="121">
        <f t="shared" si="5"/>
        <v>0</v>
      </c>
      <c r="AV36" s="121">
        <f t="shared" si="5"/>
        <v>0</v>
      </c>
      <c r="AW36" s="121">
        <f t="shared" si="5"/>
        <v>0</v>
      </c>
      <c r="AX36" s="121">
        <f t="shared" si="5"/>
        <v>1</v>
      </c>
      <c r="AY36" s="121">
        <f t="shared" si="5"/>
        <v>1</v>
      </c>
      <c r="AZ36" s="121">
        <f t="shared" si="5"/>
        <v>1</v>
      </c>
      <c r="BA36" s="121">
        <f t="shared" si="5"/>
        <v>1</v>
      </c>
      <c r="BB36" s="121">
        <f t="shared" si="5"/>
        <v>1</v>
      </c>
      <c r="BC36" s="121">
        <f t="shared" si="5"/>
        <v>1</v>
      </c>
      <c r="BD36" s="121">
        <f t="shared" si="5"/>
        <v>1</v>
      </c>
      <c r="BE36" s="121">
        <f t="shared" si="5"/>
        <v>1</v>
      </c>
      <c r="BF36" s="121">
        <f t="shared" si="5"/>
        <v>1</v>
      </c>
      <c r="BG36" s="121">
        <f t="shared" si="5"/>
        <v>1</v>
      </c>
      <c r="BH36" s="121">
        <f t="shared" si="5"/>
        <v>1</v>
      </c>
      <c r="BI36" s="121">
        <f t="shared" si="5"/>
        <v>1</v>
      </c>
      <c r="BJ36" s="121">
        <f t="shared" si="5"/>
        <v>1</v>
      </c>
      <c r="BK36" s="121">
        <f t="shared" si="5"/>
        <v>1</v>
      </c>
      <c r="BL36" s="121">
        <f t="shared" si="5"/>
        <v>1</v>
      </c>
      <c r="BM36" s="121">
        <f t="shared" si="5"/>
        <v>1</v>
      </c>
      <c r="BN36" s="121">
        <f t="shared" si="5"/>
        <v>1</v>
      </c>
      <c r="BO36" s="121">
        <f t="shared" si="5"/>
        <v>1</v>
      </c>
      <c r="BP36" s="121">
        <f t="shared" si="5"/>
        <v>1</v>
      </c>
      <c r="BQ36" s="121">
        <f t="shared" si="5"/>
        <v>1</v>
      </c>
      <c r="BR36" s="121">
        <f t="shared" si="5"/>
        <v>1</v>
      </c>
      <c r="BS36" s="121">
        <f t="shared" si="5"/>
        <v>1</v>
      </c>
      <c r="BT36" s="121">
        <f t="shared" si="5"/>
        <v>1</v>
      </c>
      <c r="BU36" s="121">
        <f t="shared" si="5"/>
        <v>1</v>
      </c>
      <c r="BV36" s="121">
        <f t="shared" si="5"/>
        <v>1</v>
      </c>
      <c r="BW36" s="121">
        <f t="shared" si="3"/>
        <v>1</v>
      </c>
      <c r="BX36" s="121">
        <f t="shared" si="3"/>
        <v>1</v>
      </c>
      <c r="BY36" s="121">
        <f t="shared" si="3"/>
        <v>1</v>
      </c>
      <c r="BZ36" s="121">
        <f t="shared" si="3"/>
        <v>1</v>
      </c>
      <c r="CA36" s="121">
        <f t="shared" si="3"/>
        <v>1</v>
      </c>
      <c r="CB36" s="121">
        <f t="shared" si="3"/>
        <v>1</v>
      </c>
      <c r="CC36" s="121">
        <f t="shared" si="3"/>
        <v>1</v>
      </c>
      <c r="CD36" s="121">
        <f t="shared" si="3"/>
        <v>1</v>
      </c>
      <c r="CE36" s="121">
        <f t="shared" si="3"/>
        <v>1</v>
      </c>
      <c r="CF36" s="121">
        <f t="shared" si="3"/>
        <v>1</v>
      </c>
      <c r="CG36" s="121">
        <f t="shared" si="3"/>
        <v>1</v>
      </c>
      <c r="CH36" s="121">
        <f t="shared" si="3"/>
        <v>1</v>
      </c>
      <c r="CI36" s="121">
        <f t="shared" si="3"/>
        <v>1</v>
      </c>
      <c r="CJ36" s="121">
        <f t="shared" si="3"/>
        <v>1</v>
      </c>
      <c r="CK36" s="121">
        <f t="shared" si="3"/>
        <v>1</v>
      </c>
      <c r="CL36" s="121">
        <f t="shared" si="3"/>
        <v>1</v>
      </c>
      <c r="CM36" s="121">
        <f t="shared" si="3"/>
        <v>1</v>
      </c>
      <c r="CN36" s="121">
        <f t="shared" si="3"/>
        <v>1</v>
      </c>
      <c r="CO36" s="121">
        <f t="shared" si="3"/>
        <v>0</v>
      </c>
      <c r="CP36" s="121">
        <f t="shared" si="3"/>
        <v>0</v>
      </c>
      <c r="CQ36" s="65"/>
      <c r="CR36" s="39"/>
    </row>
    <row r="37" spans="1:96" x14ac:dyDescent="0.25">
      <c r="A37" s="39"/>
      <c r="B37" s="39"/>
      <c r="C37" s="39"/>
      <c r="D37" s="39"/>
      <c r="E37" s="39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39"/>
    </row>
    <row r="38" spans="1:96" x14ac:dyDescent="0.25">
      <c r="A38" s="39"/>
      <c r="B38" s="39"/>
      <c r="C38" s="39"/>
      <c r="D38" s="39"/>
      <c r="E38" s="101" t="s">
        <v>525</v>
      </c>
      <c r="F38" s="39"/>
      <c r="G38" s="101" t="s">
        <v>231</v>
      </c>
      <c r="H38" s="116"/>
      <c r="I38" s="116"/>
      <c r="J38" s="116">
        <f>IF(SUM(J32:J36) = 1, 0, 1)</f>
        <v>0</v>
      </c>
      <c r="K38" s="116">
        <f t="shared" ref="K38:BV38" si="6">IF(SUM(K32:K36) = 1, 0, 1)</f>
        <v>0</v>
      </c>
      <c r="L38" s="116">
        <f t="shared" si="6"/>
        <v>0</v>
      </c>
      <c r="M38" s="116">
        <f t="shared" si="6"/>
        <v>0</v>
      </c>
      <c r="N38" s="116">
        <f t="shared" si="6"/>
        <v>0</v>
      </c>
      <c r="O38" s="116">
        <f t="shared" si="6"/>
        <v>0</v>
      </c>
      <c r="P38" s="116">
        <f t="shared" si="6"/>
        <v>0</v>
      </c>
      <c r="Q38" s="116">
        <f t="shared" si="6"/>
        <v>0</v>
      </c>
      <c r="R38" s="116">
        <f t="shared" si="6"/>
        <v>0</v>
      </c>
      <c r="S38" s="116">
        <f t="shared" si="6"/>
        <v>0</v>
      </c>
      <c r="T38" s="116">
        <f t="shared" si="6"/>
        <v>0</v>
      </c>
      <c r="U38" s="116">
        <f t="shared" si="6"/>
        <v>0</v>
      </c>
      <c r="V38" s="116">
        <f t="shared" si="6"/>
        <v>0</v>
      </c>
      <c r="W38" s="116">
        <f t="shared" si="6"/>
        <v>0</v>
      </c>
      <c r="X38" s="116">
        <f t="shared" si="6"/>
        <v>0</v>
      </c>
      <c r="Y38" s="116">
        <f t="shared" si="6"/>
        <v>0</v>
      </c>
      <c r="Z38" s="116">
        <f t="shared" si="6"/>
        <v>0</v>
      </c>
      <c r="AA38" s="116">
        <f t="shared" si="6"/>
        <v>0</v>
      </c>
      <c r="AB38" s="116">
        <f t="shared" si="6"/>
        <v>0</v>
      </c>
      <c r="AC38" s="116">
        <f t="shared" si="6"/>
        <v>0</v>
      </c>
      <c r="AD38" s="116">
        <f t="shared" si="6"/>
        <v>0</v>
      </c>
      <c r="AE38" s="116">
        <f t="shared" si="6"/>
        <v>0</v>
      </c>
      <c r="AF38" s="116">
        <f t="shared" si="6"/>
        <v>0</v>
      </c>
      <c r="AG38" s="116">
        <f t="shared" si="6"/>
        <v>0</v>
      </c>
      <c r="AH38" s="116">
        <f t="shared" si="6"/>
        <v>0</v>
      </c>
      <c r="AI38" s="116">
        <f t="shared" si="6"/>
        <v>0</v>
      </c>
      <c r="AJ38" s="116">
        <f t="shared" si="6"/>
        <v>0</v>
      </c>
      <c r="AK38" s="116">
        <f t="shared" si="6"/>
        <v>0</v>
      </c>
      <c r="AL38" s="116">
        <f t="shared" si="6"/>
        <v>0</v>
      </c>
      <c r="AM38" s="116">
        <f t="shared" si="6"/>
        <v>0</v>
      </c>
      <c r="AN38" s="116">
        <f t="shared" si="6"/>
        <v>0</v>
      </c>
      <c r="AO38" s="116">
        <f t="shared" si="6"/>
        <v>0</v>
      </c>
      <c r="AP38" s="116">
        <f t="shared" si="6"/>
        <v>0</v>
      </c>
      <c r="AQ38" s="116">
        <f t="shared" si="6"/>
        <v>0</v>
      </c>
      <c r="AR38" s="116">
        <f t="shared" si="6"/>
        <v>0</v>
      </c>
      <c r="AS38" s="116">
        <f t="shared" si="6"/>
        <v>0</v>
      </c>
      <c r="AT38" s="116">
        <f t="shared" si="6"/>
        <v>0</v>
      </c>
      <c r="AU38" s="116">
        <f t="shared" si="6"/>
        <v>0</v>
      </c>
      <c r="AV38" s="116">
        <f t="shared" si="6"/>
        <v>0</v>
      </c>
      <c r="AW38" s="116">
        <f t="shared" si="6"/>
        <v>0</v>
      </c>
      <c r="AX38" s="116">
        <f t="shared" si="6"/>
        <v>0</v>
      </c>
      <c r="AY38" s="116">
        <f t="shared" si="6"/>
        <v>0</v>
      </c>
      <c r="AZ38" s="116">
        <f t="shared" si="6"/>
        <v>0</v>
      </c>
      <c r="BA38" s="116">
        <f t="shared" si="6"/>
        <v>0</v>
      </c>
      <c r="BB38" s="116">
        <f t="shared" si="6"/>
        <v>0</v>
      </c>
      <c r="BC38" s="116">
        <f t="shared" si="6"/>
        <v>0</v>
      </c>
      <c r="BD38" s="116">
        <f t="shared" si="6"/>
        <v>0</v>
      </c>
      <c r="BE38" s="116">
        <f t="shared" si="6"/>
        <v>0</v>
      </c>
      <c r="BF38" s="116">
        <f t="shared" si="6"/>
        <v>0</v>
      </c>
      <c r="BG38" s="116">
        <f t="shared" si="6"/>
        <v>0</v>
      </c>
      <c r="BH38" s="116">
        <f t="shared" si="6"/>
        <v>0</v>
      </c>
      <c r="BI38" s="116">
        <f t="shared" si="6"/>
        <v>0</v>
      </c>
      <c r="BJ38" s="116">
        <f t="shared" si="6"/>
        <v>0</v>
      </c>
      <c r="BK38" s="116">
        <f t="shared" si="6"/>
        <v>0</v>
      </c>
      <c r="BL38" s="116">
        <f t="shared" si="6"/>
        <v>0</v>
      </c>
      <c r="BM38" s="116">
        <f t="shared" si="6"/>
        <v>0</v>
      </c>
      <c r="BN38" s="116">
        <f t="shared" si="6"/>
        <v>0</v>
      </c>
      <c r="BO38" s="116">
        <f t="shared" si="6"/>
        <v>0</v>
      </c>
      <c r="BP38" s="116">
        <f t="shared" si="6"/>
        <v>0</v>
      </c>
      <c r="BQ38" s="116">
        <f t="shared" si="6"/>
        <v>0</v>
      </c>
      <c r="BR38" s="116">
        <f t="shared" si="6"/>
        <v>0</v>
      </c>
      <c r="BS38" s="116">
        <f t="shared" si="6"/>
        <v>0</v>
      </c>
      <c r="BT38" s="116">
        <f t="shared" si="6"/>
        <v>0</v>
      </c>
      <c r="BU38" s="116">
        <f t="shared" si="6"/>
        <v>0</v>
      </c>
      <c r="BV38" s="116">
        <f t="shared" si="6"/>
        <v>0</v>
      </c>
      <c r="BW38" s="116">
        <f t="shared" ref="BW38:CP38" si="7">IF(SUM(BW32:BW36) = 1, 0, 1)</f>
        <v>0</v>
      </c>
      <c r="BX38" s="116">
        <f t="shared" si="7"/>
        <v>0</v>
      </c>
      <c r="BY38" s="116">
        <f t="shared" si="7"/>
        <v>0</v>
      </c>
      <c r="BZ38" s="116">
        <f t="shared" si="7"/>
        <v>0</v>
      </c>
      <c r="CA38" s="116">
        <f t="shared" si="7"/>
        <v>0</v>
      </c>
      <c r="CB38" s="116">
        <f t="shared" si="7"/>
        <v>0</v>
      </c>
      <c r="CC38" s="116">
        <f t="shared" si="7"/>
        <v>0</v>
      </c>
      <c r="CD38" s="116">
        <f t="shared" si="7"/>
        <v>0</v>
      </c>
      <c r="CE38" s="116">
        <f t="shared" si="7"/>
        <v>0</v>
      </c>
      <c r="CF38" s="116">
        <f t="shared" si="7"/>
        <v>0</v>
      </c>
      <c r="CG38" s="116">
        <f t="shared" si="7"/>
        <v>0</v>
      </c>
      <c r="CH38" s="116">
        <f t="shared" si="7"/>
        <v>0</v>
      </c>
      <c r="CI38" s="116">
        <f t="shared" si="7"/>
        <v>0</v>
      </c>
      <c r="CJ38" s="116">
        <f t="shared" si="7"/>
        <v>0</v>
      </c>
      <c r="CK38" s="116">
        <f t="shared" si="7"/>
        <v>0</v>
      </c>
      <c r="CL38" s="116">
        <f t="shared" si="7"/>
        <v>0</v>
      </c>
      <c r="CM38" s="116">
        <f t="shared" si="7"/>
        <v>0</v>
      </c>
      <c r="CN38" s="116">
        <f t="shared" si="7"/>
        <v>0</v>
      </c>
      <c r="CO38" s="116">
        <f t="shared" si="7"/>
        <v>0</v>
      </c>
      <c r="CP38" s="116">
        <f t="shared" si="7"/>
        <v>0</v>
      </c>
      <c r="CQ38" s="65"/>
      <c r="CR38" s="39"/>
    </row>
    <row r="39" spans="1:96" x14ac:dyDescent="0.25">
      <c r="A39" s="39"/>
      <c r="B39" s="39"/>
      <c r="C39" s="39"/>
      <c r="D39" s="39"/>
      <c r="E39" s="101" t="s">
        <v>232</v>
      </c>
      <c r="F39" s="39"/>
      <c r="G39" s="101" t="s">
        <v>231</v>
      </c>
      <c r="H39" s="116">
        <f>SUM(J38:CP38)</f>
        <v>0</v>
      </c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65"/>
      <c r="CR39" s="39"/>
    </row>
    <row r="40" spans="1:9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39"/>
    </row>
    <row r="41" spans="1:96" x14ac:dyDescent="0.25">
      <c r="A41" s="39"/>
      <c r="B41" s="39"/>
      <c r="C41" s="39"/>
      <c r="D41" s="39"/>
      <c r="E41" s="101" t="str">
        <f>'Fixed inputs'!E288</f>
        <v>Extended mapping of MEAV asset categories to network levels</v>
      </c>
      <c r="F41" s="39"/>
      <c r="G41" s="101" t="str">
        <f>'Fixed inputs'!G289</f>
        <v>network level</v>
      </c>
      <c r="H41" s="110"/>
      <c r="I41" s="110"/>
      <c r="J41" s="132" t="str">
        <f>'Fixed inputs'!H289</f>
        <v>-</v>
      </c>
      <c r="K41" s="132" t="str">
        <f>'Fixed inputs'!H290</f>
        <v>-</v>
      </c>
      <c r="L41" s="132" t="str">
        <f>'Fixed inputs'!H291</f>
        <v>-</v>
      </c>
      <c r="M41" s="132" t="str">
        <f>'Fixed inputs'!H292</f>
        <v>-</v>
      </c>
      <c r="N41" s="132" t="str">
        <f>'Fixed inputs'!H293</f>
        <v>-</v>
      </c>
      <c r="O41" s="132" t="str">
        <f>'Fixed inputs'!H294</f>
        <v>-</v>
      </c>
      <c r="P41" s="132" t="str">
        <f>'Fixed inputs'!H295</f>
        <v>-</v>
      </c>
      <c r="Q41" s="132" t="str">
        <f>'Fixed inputs'!H296</f>
        <v>-</v>
      </c>
      <c r="R41" s="132" t="str">
        <f>'Fixed inputs'!H297</f>
        <v>-</v>
      </c>
      <c r="S41" s="132" t="str">
        <f>'Fixed inputs'!H298</f>
        <v>-</v>
      </c>
      <c r="T41" s="132" t="str">
        <f>'Fixed inputs'!H299</f>
        <v>-</v>
      </c>
      <c r="U41" s="132" t="str">
        <f>'Fixed inputs'!H300</f>
        <v>-</v>
      </c>
      <c r="V41" s="132" t="str">
        <f>'Fixed inputs'!H301</f>
        <v>-</v>
      </c>
      <c r="W41" s="132" t="str">
        <f>'Fixed inputs'!H302</f>
        <v>-</v>
      </c>
      <c r="X41" s="132" t="str">
        <f>'Fixed inputs'!H303</f>
        <v>-</v>
      </c>
      <c r="Y41" s="132" t="str">
        <f>'Fixed inputs'!H304</f>
        <v>-</v>
      </c>
      <c r="Z41" s="132" t="str">
        <f>'Fixed inputs'!H305</f>
        <v>-</v>
      </c>
      <c r="AA41" s="132" t="str">
        <f>'Fixed inputs'!H306</f>
        <v>-</v>
      </c>
      <c r="AB41" s="132" t="str">
        <f>'Fixed inputs'!H307</f>
        <v>-</v>
      </c>
      <c r="AC41" s="132" t="str">
        <f>'Fixed inputs'!H308</f>
        <v>-</v>
      </c>
      <c r="AD41" s="132" t="str">
        <f>'Fixed inputs'!H309</f>
        <v>-</v>
      </c>
      <c r="AE41" s="132" t="str">
        <f>'Fixed inputs'!H310</f>
        <v>-</v>
      </c>
      <c r="AF41" s="132" t="str">
        <f>'Fixed inputs'!H311</f>
        <v>EHV/HV</v>
      </c>
      <c r="AG41" s="132" t="str">
        <f>'Fixed inputs'!H312</f>
        <v>EHV/HV</v>
      </c>
      <c r="AH41" s="132" t="str">
        <f>'Fixed inputs'!H313</f>
        <v>-</v>
      </c>
      <c r="AI41" s="132" t="str">
        <f>'Fixed inputs'!H314</f>
        <v>-</v>
      </c>
      <c r="AJ41" s="132" t="str">
        <f>'Fixed inputs'!H315</f>
        <v>-</v>
      </c>
      <c r="AK41" s="132" t="str">
        <f>'Fixed inputs'!H316</f>
        <v>-</v>
      </c>
      <c r="AL41" s="132" t="str">
        <f>'Fixed inputs'!H317</f>
        <v>-</v>
      </c>
      <c r="AM41" s="132" t="str">
        <f>'Fixed inputs'!H318</f>
        <v>EHV/HV</v>
      </c>
      <c r="AN41" s="132" t="str">
        <f>'Fixed inputs'!H319</f>
        <v>EHV/HV</v>
      </c>
      <c r="AO41" s="132" t="str">
        <f>'Fixed inputs'!H320</f>
        <v>-</v>
      </c>
      <c r="AP41" s="132" t="str">
        <f>'Fixed inputs'!H321</f>
        <v>-</v>
      </c>
      <c r="AQ41" s="132" t="str">
        <f>'Fixed inputs'!H322</f>
        <v>-</v>
      </c>
      <c r="AR41" s="132" t="str">
        <f>'Fixed inputs'!H323</f>
        <v>-</v>
      </c>
      <c r="AS41" s="132" t="str">
        <f>'Fixed inputs'!H324</f>
        <v>-</v>
      </c>
      <c r="AT41" s="132" t="str">
        <f>'Fixed inputs'!H325</f>
        <v>-</v>
      </c>
      <c r="AU41" s="132" t="str">
        <f>'Fixed inputs'!H326</f>
        <v>-</v>
      </c>
      <c r="AV41" s="132" t="str">
        <f>'Fixed inputs'!H327</f>
        <v>-</v>
      </c>
      <c r="AW41" s="132" t="str">
        <f>'Fixed inputs'!H328</f>
        <v>-</v>
      </c>
      <c r="AX41" s="132" t="str">
        <f>'Fixed inputs'!H329</f>
        <v>EHV</v>
      </c>
      <c r="AY41" s="132" t="str">
        <f>'Fixed inputs'!H330</f>
        <v>EHV</v>
      </c>
      <c r="AZ41" s="132" t="str">
        <f>'Fixed inputs'!H331</f>
        <v>EHV</v>
      </c>
      <c r="BA41" s="132" t="str">
        <f>'Fixed inputs'!H332</f>
        <v>EHV</v>
      </c>
      <c r="BB41" s="132" t="str">
        <f>'Fixed inputs'!H333</f>
        <v>EHV</v>
      </c>
      <c r="BC41" s="132" t="str">
        <f>'Fixed inputs'!H334</f>
        <v>EHV</v>
      </c>
      <c r="BD41" s="132" t="str">
        <f>'Fixed inputs'!H335</f>
        <v>EHV</v>
      </c>
      <c r="BE41" s="132" t="str">
        <f>'Fixed inputs'!H336</f>
        <v>EHV</v>
      </c>
      <c r="BF41" s="132" t="str">
        <f>'Fixed inputs'!H337</f>
        <v>EHV</v>
      </c>
      <c r="BG41" s="132" t="str">
        <f>'Fixed inputs'!H338</f>
        <v>EHV</v>
      </c>
      <c r="BH41" s="132" t="str">
        <f>'Fixed inputs'!H339</f>
        <v>EHV</v>
      </c>
      <c r="BI41" s="132" t="str">
        <f>'Fixed inputs'!H340</f>
        <v>EHV</v>
      </c>
      <c r="BJ41" s="132" t="str">
        <f>'Fixed inputs'!H341</f>
        <v>EHV</v>
      </c>
      <c r="BK41" s="132" t="str">
        <f>'Fixed inputs'!H342</f>
        <v>EHV</v>
      </c>
      <c r="BL41" s="132" t="str">
        <f>'Fixed inputs'!H343</f>
        <v>EHV</v>
      </c>
      <c r="BM41" s="132" t="str">
        <f>'Fixed inputs'!H344</f>
        <v>132kV/EHV</v>
      </c>
      <c r="BN41" s="132" t="str">
        <f>'Fixed inputs'!H345</f>
        <v>132kV/EHV</v>
      </c>
      <c r="BO41" s="132" t="str">
        <f>'Fixed inputs'!H346</f>
        <v>132kV/EHV</v>
      </c>
      <c r="BP41" s="132" t="str">
        <f>'Fixed inputs'!H347</f>
        <v>132kV/EHV</v>
      </c>
      <c r="BQ41" s="132" t="str">
        <f>'Fixed inputs'!H348</f>
        <v>132kV/EHV</v>
      </c>
      <c r="BR41" s="132" t="str">
        <f>'Fixed inputs'!H349</f>
        <v>EHV/HV</v>
      </c>
      <c r="BS41" s="132" t="str">
        <f>'Fixed inputs'!H350</f>
        <v>132kV/EHV</v>
      </c>
      <c r="BT41" s="132" t="str">
        <f>'Fixed inputs'!H351</f>
        <v>EHV/HV</v>
      </c>
      <c r="BU41" s="132" t="str">
        <f>'Fixed inputs'!H352</f>
        <v>EHV/HV</v>
      </c>
      <c r="BV41" s="132" t="str">
        <f>'Fixed inputs'!H353</f>
        <v>EHV/HV</v>
      </c>
      <c r="BW41" s="132" t="str">
        <f>'Fixed inputs'!H354</f>
        <v>EHV/HV</v>
      </c>
      <c r="BX41" s="132" t="str">
        <f>'Fixed inputs'!H355</f>
        <v>EHV/HV</v>
      </c>
      <c r="BY41" s="132" t="str">
        <f>'Fixed inputs'!H356</f>
        <v>EHV/HV</v>
      </c>
      <c r="BZ41" s="132" t="str">
        <f>'Fixed inputs'!H357</f>
        <v>132kV</v>
      </c>
      <c r="CA41" s="132" t="str">
        <f>'Fixed inputs'!H358</f>
        <v>132kV</v>
      </c>
      <c r="CB41" s="132" t="str">
        <f>'Fixed inputs'!H359</f>
        <v>132kV</v>
      </c>
      <c r="CC41" s="132" t="str">
        <f>'Fixed inputs'!H360</f>
        <v>132kV</v>
      </c>
      <c r="CD41" s="132" t="str">
        <f>'Fixed inputs'!H361</f>
        <v>132kV</v>
      </c>
      <c r="CE41" s="132" t="str">
        <f>'Fixed inputs'!H362</f>
        <v>132kV</v>
      </c>
      <c r="CF41" s="132" t="str">
        <f>'Fixed inputs'!H363</f>
        <v>132kV</v>
      </c>
      <c r="CG41" s="132" t="str">
        <f>'Fixed inputs'!H364</f>
        <v>132kV</v>
      </c>
      <c r="CH41" s="132" t="str">
        <f>'Fixed inputs'!H365</f>
        <v>132kV</v>
      </c>
      <c r="CI41" s="132" t="str">
        <f>'Fixed inputs'!H366</f>
        <v>132kV</v>
      </c>
      <c r="CJ41" s="132" t="str">
        <f>'Fixed inputs'!H367</f>
        <v>132kV</v>
      </c>
      <c r="CK41" s="132" t="str">
        <f>'Fixed inputs'!H368</f>
        <v>132kV/EHV</v>
      </c>
      <c r="CL41" s="132" t="str">
        <f>'Fixed inputs'!H369</f>
        <v>132kV/EHV</v>
      </c>
      <c r="CM41" s="132" t="str">
        <f>'Fixed inputs'!H370</f>
        <v>EHV/HV</v>
      </c>
      <c r="CN41" s="132" t="str">
        <f>'Fixed inputs'!H371</f>
        <v>EHV/HV</v>
      </c>
      <c r="CO41" s="132" t="str">
        <f>'Fixed inputs'!H372</f>
        <v>-</v>
      </c>
      <c r="CP41" s="132" t="str">
        <f>'Fixed inputs'!H373</f>
        <v>-</v>
      </c>
      <c r="CQ41" s="65"/>
      <c r="CR41" s="39"/>
    </row>
    <row r="42" spans="1:96" x14ac:dyDescent="0.25">
      <c r="A42" s="39"/>
      <c r="B42" s="39"/>
      <c r="C42" s="39"/>
      <c r="D42" s="39"/>
      <c r="E42" s="95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39"/>
    </row>
    <row r="43" spans="1:96" x14ac:dyDescent="0.25">
      <c r="A43" s="101"/>
      <c r="B43" s="39"/>
      <c r="C43" s="39"/>
      <c r="D43" s="39"/>
      <c r="E43" s="98" t="s">
        <v>361</v>
      </c>
      <c r="F43" s="39"/>
      <c r="G43" s="39"/>
      <c r="H43" s="65"/>
      <c r="I43" s="112" t="s">
        <v>314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101" t="s">
        <v>572</v>
      </c>
    </row>
    <row r="44" spans="1:96" x14ac:dyDescent="0.25">
      <c r="A44" s="39"/>
      <c r="B44" s="39"/>
      <c r="C44" s="39"/>
      <c r="D44" s="39"/>
      <c r="E44" s="39"/>
      <c r="F44" s="99" t="s">
        <v>38</v>
      </c>
      <c r="G44" s="99" t="s">
        <v>191</v>
      </c>
      <c r="H44" s="118"/>
      <c r="I44" s="118"/>
      <c r="J44" s="118">
        <f>IF($F44 = J$41, 1, 0)</f>
        <v>0</v>
      </c>
      <c r="K44" s="118">
        <f t="shared" ref="K44:Z47" si="8">IF($F44 = K$41, 1, 0)</f>
        <v>0</v>
      </c>
      <c r="L44" s="118">
        <f t="shared" si="8"/>
        <v>0</v>
      </c>
      <c r="M44" s="118">
        <f t="shared" si="8"/>
        <v>0</v>
      </c>
      <c r="N44" s="118">
        <f t="shared" si="8"/>
        <v>0</v>
      </c>
      <c r="O44" s="118">
        <f t="shared" si="8"/>
        <v>0</v>
      </c>
      <c r="P44" s="118">
        <f t="shared" si="8"/>
        <v>0</v>
      </c>
      <c r="Q44" s="118">
        <f t="shared" si="8"/>
        <v>0</v>
      </c>
      <c r="R44" s="118">
        <f t="shared" si="8"/>
        <v>0</v>
      </c>
      <c r="S44" s="118">
        <f t="shared" si="8"/>
        <v>0</v>
      </c>
      <c r="T44" s="118">
        <f t="shared" si="8"/>
        <v>0</v>
      </c>
      <c r="U44" s="118">
        <f t="shared" si="8"/>
        <v>0</v>
      </c>
      <c r="V44" s="118">
        <f t="shared" si="8"/>
        <v>0</v>
      </c>
      <c r="W44" s="118">
        <f t="shared" si="8"/>
        <v>0</v>
      </c>
      <c r="X44" s="118">
        <f t="shared" si="8"/>
        <v>0</v>
      </c>
      <c r="Y44" s="118">
        <f t="shared" si="8"/>
        <v>0</v>
      </c>
      <c r="Z44" s="118">
        <f t="shared" si="8"/>
        <v>0</v>
      </c>
      <c r="AA44" s="118">
        <f t="shared" ref="AA44:AP47" si="9">IF($F44 = AA$41, 1, 0)</f>
        <v>0</v>
      </c>
      <c r="AB44" s="118">
        <f t="shared" si="9"/>
        <v>0</v>
      </c>
      <c r="AC44" s="118">
        <f t="shared" si="9"/>
        <v>0</v>
      </c>
      <c r="AD44" s="118">
        <f t="shared" si="9"/>
        <v>0</v>
      </c>
      <c r="AE44" s="118">
        <f t="shared" si="9"/>
        <v>0</v>
      </c>
      <c r="AF44" s="118">
        <f t="shared" si="9"/>
        <v>1</v>
      </c>
      <c r="AG44" s="118">
        <f t="shared" si="9"/>
        <v>1</v>
      </c>
      <c r="AH44" s="118">
        <f t="shared" si="9"/>
        <v>0</v>
      </c>
      <c r="AI44" s="118">
        <f t="shared" si="9"/>
        <v>0</v>
      </c>
      <c r="AJ44" s="118">
        <f t="shared" si="9"/>
        <v>0</v>
      </c>
      <c r="AK44" s="118">
        <f t="shared" si="9"/>
        <v>0</v>
      </c>
      <c r="AL44" s="118">
        <f t="shared" si="9"/>
        <v>0</v>
      </c>
      <c r="AM44" s="118">
        <f t="shared" si="9"/>
        <v>1</v>
      </c>
      <c r="AN44" s="118">
        <f t="shared" si="9"/>
        <v>1</v>
      </c>
      <c r="AO44" s="118">
        <f t="shared" si="9"/>
        <v>0</v>
      </c>
      <c r="AP44" s="118">
        <f t="shared" si="9"/>
        <v>0</v>
      </c>
      <c r="AQ44" s="118">
        <f t="shared" ref="AQ44:BF47" si="10">IF($F44 = AQ$41, 1, 0)</f>
        <v>0</v>
      </c>
      <c r="AR44" s="118">
        <f t="shared" si="10"/>
        <v>0</v>
      </c>
      <c r="AS44" s="118">
        <f t="shared" si="10"/>
        <v>0</v>
      </c>
      <c r="AT44" s="118">
        <f t="shared" si="10"/>
        <v>0</v>
      </c>
      <c r="AU44" s="118">
        <f t="shared" si="10"/>
        <v>0</v>
      </c>
      <c r="AV44" s="118">
        <f t="shared" si="10"/>
        <v>0</v>
      </c>
      <c r="AW44" s="118">
        <f t="shared" si="10"/>
        <v>0</v>
      </c>
      <c r="AX44" s="118">
        <f t="shared" si="10"/>
        <v>0</v>
      </c>
      <c r="AY44" s="118">
        <f t="shared" si="10"/>
        <v>0</v>
      </c>
      <c r="AZ44" s="118">
        <f t="shared" si="10"/>
        <v>0</v>
      </c>
      <c r="BA44" s="118">
        <f t="shared" si="10"/>
        <v>0</v>
      </c>
      <c r="BB44" s="118">
        <f t="shared" si="10"/>
        <v>0</v>
      </c>
      <c r="BC44" s="118">
        <f t="shared" si="10"/>
        <v>0</v>
      </c>
      <c r="BD44" s="118">
        <f t="shared" si="10"/>
        <v>0</v>
      </c>
      <c r="BE44" s="118">
        <f t="shared" si="10"/>
        <v>0</v>
      </c>
      <c r="BF44" s="118">
        <f t="shared" si="10"/>
        <v>0</v>
      </c>
      <c r="BG44" s="118">
        <f t="shared" ref="BG44:BV47" si="11">IF($F44 = BG$41, 1, 0)</f>
        <v>0</v>
      </c>
      <c r="BH44" s="118">
        <f t="shared" si="11"/>
        <v>0</v>
      </c>
      <c r="BI44" s="118">
        <f t="shared" si="11"/>
        <v>0</v>
      </c>
      <c r="BJ44" s="118">
        <f t="shared" si="11"/>
        <v>0</v>
      </c>
      <c r="BK44" s="118">
        <f t="shared" si="11"/>
        <v>0</v>
      </c>
      <c r="BL44" s="118">
        <f t="shared" si="11"/>
        <v>0</v>
      </c>
      <c r="BM44" s="118">
        <f t="shared" si="11"/>
        <v>0</v>
      </c>
      <c r="BN44" s="118">
        <f t="shared" si="11"/>
        <v>0</v>
      </c>
      <c r="BO44" s="118">
        <f t="shared" si="11"/>
        <v>0</v>
      </c>
      <c r="BP44" s="118">
        <f t="shared" si="11"/>
        <v>0</v>
      </c>
      <c r="BQ44" s="118">
        <f t="shared" si="11"/>
        <v>0</v>
      </c>
      <c r="BR44" s="118">
        <f t="shared" si="11"/>
        <v>1</v>
      </c>
      <c r="BS44" s="118">
        <f t="shared" si="11"/>
        <v>0</v>
      </c>
      <c r="BT44" s="118">
        <f t="shared" si="11"/>
        <v>1</v>
      </c>
      <c r="BU44" s="118">
        <f t="shared" si="11"/>
        <v>1</v>
      </c>
      <c r="BV44" s="118">
        <f t="shared" si="11"/>
        <v>1</v>
      </c>
      <c r="BW44" s="118">
        <f t="shared" ref="BW44:CL47" si="12">IF($F44 = BW$41, 1, 0)</f>
        <v>1</v>
      </c>
      <c r="BX44" s="118">
        <f t="shared" si="12"/>
        <v>1</v>
      </c>
      <c r="BY44" s="118">
        <f t="shared" si="12"/>
        <v>1</v>
      </c>
      <c r="BZ44" s="118">
        <f t="shared" si="12"/>
        <v>0</v>
      </c>
      <c r="CA44" s="118">
        <f t="shared" si="12"/>
        <v>0</v>
      </c>
      <c r="CB44" s="118">
        <f t="shared" si="12"/>
        <v>0</v>
      </c>
      <c r="CC44" s="118">
        <f t="shared" si="12"/>
        <v>0</v>
      </c>
      <c r="CD44" s="118">
        <f t="shared" si="12"/>
        <v>0</v>
      </c>
      <c r="CE44" s="118">
        <f t="shared" si="12"/>
        <v>0</v>
      </c>
      <c r="CF44" s="118">
        <f t="shared" si="12"/>
        <v>0</v>
      </c>
      <c r="CG44" s="118">
        <f t="shared" si="12"/>
        <v>0</v>
      </c>
      <c r="CH44" s="118">
        <f t="shared" si="12"/>
        <v>0</v>
      </c>
      <c r="CI44" s="118">
        <f t="shared" si="12"/>
        <v>0</v>
      </c>
      <c r="CJ44" s="118">
        <f t="shared" si="12"/>
        <v>0</v>
      </c>
      <c r="CK44" s="118">
        <f t="shared" si="12"/>
        <v>0</v>
      </c>
      <c r="CL44" s="118">
        <f t="shared" si="12"/>
        <v>0</v>
      </c>
      <c r="CM44" s="118">
        <f t="shared" ref="CM44:CP47" si="13">IF($F44 = CM$41, 1, 0)</f>
        <v>1</v>
      </c>
      <c r="CN44" s="118">
        <f t="shared" si="13"/>
        <v>1</v>
      </c>
      <c r="CO44" s="118">
        <f t="shared" si="13"/>
        <v>0</v>
      </c>
      <c r="CP44" s="118">
        <f t="shared" si="13"/>
        <v>0</v>
      </c>
      <c r="CQ44" s="65"/>
      <c r="CR44" s="39"/>
    </row>
    <row r="45" spans="1:96" x14ac:dyDescent="0.25">
      <c r="A45" s="39"/>
      <c r="B45" s="39"/>
      <c r="C45" s="39"/>
      <c r="D45" s="39"/>
      <c r="E45" s="39"/>
      <c r="F45" s="101" t="s">
        <v>37</v>
      </c>
      <c r="G45" s="101" t="s">
        <v>191</v>
      </c>
      <c r="H45" s="116"/>
      <c r="I45" s="116"/>
      <c r="J45" s="116">
        <f>IF($F45 = J$41, 1, 0)</f>
        <v>0</v>
      </c>
      <c r="K45" s="116">
        <f t="shared" si="8"/>
        <v>0</v>
      </c>
      <c r="L45" s="116">
        <f t="shared" si="8"/>
        <v>0</v>
      </c>
      <c r="M45" s="116">
        <f t="shared" si="8"/>
        <v>0</v>
      </c>
      <c r="N45" s="116">
        <f t="shared" si="8"/>
        <v>0</v>
      </c>
      <c r="O45" s="116">
        <f t="shared" si="8"/>
        <v>0</v>
      </c>
      <c r="P45" s="116">
        <f t="shared" si="8"/>
        <v>0</v>
      </c>
      <c r="Q45" s="116">
        <f t="shared" si="8"/>
        <v>0</v>
      </c>
      <c r="R45" s="116">
        <f t="shared" si="8"/>
        <v>0</v>
      </c>
      <c r="S45" s="116">
        <f t="shared" si="8"/>
        <v>0</v>
      </c>
      <c r="T45" s="116">
        <f t="shared" si="8"/>
        <v>0</v>
      </c>
      <c r="U45" s="116">
        <f t="shared" si="8"/>
        <v>0</v>
      </c>
      <c r="V45" s="116">
        <f t="shared" si="8"/>
        <v>0</v>
      </c>
      <c r="W45" s="116">
        <f t="shared" si="8"/>
        <v>0</v>
      </c>
      <c r="X45" s="116">
        <f t="shared" si="8"/>
        <v>0</v>
      </c>
      <c r="Y45" s="116">
        <f t="shared" si="8"/>
        <v>0</v>
      </c>
      <c r="Z45" s="116">
        <f t="shared" si="8"/>
        <v>0</v>
      </c>
      <c r="AA45" s="116">
        <f t="shared" si="9"/>
        <v>0</v>
      </c>
      <c r="AB45" s="116">
        <f t="shared" si="9"/>
        <v>0</v>
      </c>
      <c r="AC45" s="116">
        <f t="shared" si="9"/>
        <v>0</v>
      </c>
      <c r="AD45" s="116">
        <f t="shared" si="9"/>
        <v>0</v>
      </c>
      <c r="AE45" s="116">
        <f t="shared" si="9"/>
        <v>0</v>
      </c>
      <c r="AF45" s="116">
        <f t="shared" si="9"/>
        <v>0</v>
      </c>
      <c r="AG45" s="116">
        <f t="shared" si="9"/>
        <v>0</v>
      </c>
      <c r="AH45" s="116">
        <f t="shared" si="9"/>
        <v>0</v>
      </c>
      <c r="AI45" s="116">
        <f t="shared" si="9"/>
        <v>0</v>
      </c>
      <c r="AJ45" s="116">
        <f t="shared" si="9"/>
        <v>0</v>
      </c>
      <c r="AK45" s="116">
        <f t="shared" si="9"/>
        <v>0</v>
      </c>
      <c r="AL45" s="116">
        <f t="shared" si="9"/>
        <v>0</v>
      </c>
      <c r="AM45" s="116">
        <f t="shared" si="9"/>
        <v>0</v>
      </c>
      <c r="AN45" s="116">
        <f t="shared" si="9"/>
        <v>0</v>
      </c>
      <c r="AO45" s="116">
        <f t="shared" si="9"/>
        <v>0</v>
      </c>
      <c r="AP45" s="116">
        <f t="shared" si="9"/>
        <v>0</v>
      </c>
      <c r="AQ45" s="116">
        <f t="shared" si="10"/>
        <v>0</v>
      </c>
      <c r="AR45" s="116">
        <f t="shared" si="10"/>
        <v>0</v>
      </c>
      <c r="AS45" s="116">
        <f t="shared" si="10"/>
        <v>0</v>
      </c>
      <c r="AT45" s="116">
        <f t="shared" si="10"/>
        <v>0</v>
      </c>
      <c r="AU45" s="116">
        <f t="shared" si="10"/>
        <v>0</v>
      </c>
      <c r="AV45" s="116">
        <f t="shared" si="10"/>
        <v>0</v>
      </c>
      <c r="AW45" s="116">
        <f t="shared" si="10"/>
        <v>0</v>
      </c>
      <c r="AX45" s="116">
        <f t="shared" si="10"/>
        <v>1</v>
      </c>
      <c r="AY45" s="116">
        <f t="shared" si="10"/>
        <v>1</v>
      </c>
      <c r="AZ45" s="116">
        <f t="shared" si="10"/>
        <v>1</v>
      </c>
      <c r="BA45" s="116">
        <f t="shared" si="10"/>
        <v>1</v>
      </c>
      <c r="BB45" s="116">
        <f t="shared" si="10"/>
        <v>1</v>
      </c>
      <c r="BC45" s="116">
        <f t="shared" si="10"/>
        <v>1</v>
      </c>
      <c r="BD45" s="116">
        <f t="shared" si="10"/>
        <v>1</v>
      </c>
      <c r="BE45" s="116">
        <f t="shared" si="10"/>
        <v>1</v>
      </c>
      <c r="BF45" s="116">
        <f t="shared" si="10"/>
        <v>1</v>
      </c>
      <c r="BG45" s="116">
        <f t="shared" si="11"/>
        <v>1</v>
      </c>
      <c r="BH45" s="116">
        <f t="shared" si="11"/>
        <v>1</v>
      </c>
      <c r="BI45" s="116">
        <f t="shared" si="11"/>
        <v>1</v>
      </c>
      <c r="BJ45" s="116">
        <f t="shared" si="11"/>
        <v>1</v>
      </c>
      <c r="BK45" s="116">
        <f t="shared" si="11"/>
        <v>1</v>
      </c>
      <c r="BL45" s="116">
        <f t="shared" si="11"/>
        <v>1</v>
      </c>
      <c r="BM45" s="116">
        <f t="shared" si="11"/>
        <v>0</v>
      </c>
      <c r="BN45" s="116">
        <f t="shared" si="11"/>
        <v>0</v>
      </c>
      <c r="BO45" s="116">
        <f t="shared" si="11"/>
        <v>0</v>
      </c>
      <c r="BP45" s="116">
        <f t="shared" si="11"/>
        <v>0</v>
      </c>
      <c r="BQ45" s="116">
        <f t="shared" si="11"/>
        <v>0</v>
      </c>
      <c r="BR45" s="116">
        <f t="shared" si="11"/>
        <v>0</v>
      </c>
      <c r="BS45" s="116">
        <f t="shared" si="11"/>
        <v>0</v>
      </c>
      <c r="BT45" s="116">
        <f t="shared" si="11"/>
        <v>0</v>
      </c>
      <c r="BU45" s="116">
        <f t="shared" si="11"/>
        <v>0</v>
      </c>
      <c r="BV45" s="116">
        <f t="shared" si="11"/>
        <v>0</v>
      </c>
      <c r="BW45" s="116">
        <f t="shared" si="12"/>
        <v>0</v>
      </c>
      <c r="BX45" s="116">
        <f t="shared" si="12"/>
        <v>0</v>
      </c>
      <c r="BY45" s="116">
        <f t="shared" si="12"/>
        <v>0</v>
      </c>
      <c r="BZ45" s="116">
        <f t="shared" si="12"/>
        <v>0</v>
      </c>
      <c r="CA45" s="116">
        <f t="shared" si="12"/>
        <v>0</v>
      </c>
      <c r="CB45" s="116">
        <f t="shared" si="12"/>
        <v>0</v>
      </c>
      <c r="CC45" s="116">
        <f t="shared" si="12"/>
        <v>0</v>
      </c>
      <c r="CD45" s="116">
        <f t="shared" si="12"/>
        <v>0</v>
      </c>
      <c r="CE45" s="116">
        <f t="shared" si="12"/>
        <v>0</v>
      </c>
      <c r="CF45" s="116">
        <f t="shared" si="12"/>
        <v>0</v>
      </c>
      <c r="CG45" s="116">
        <f t="shared" si="12"/>
        <v>0</v>
      </c>
      <c r="CH45" s="116">
        <f t="shared" si="12"/>
        <v>0</v>
      </c>
      <c r="CI45" s="116">
        <f t="shared" si="12"/>
        <v>0</v>
      </c>
      <c r="CJ45" s="116">
        <f t="shared" si="12"/>
        <v>0</v>
      </c>
      <c r="CK45" s="116">
        <f t="shared" si="12"/>
        <v>0</v>
      </c>
      <c r="CL45" s="116">
        <f t="shared" si="12"/>
        <v>0</v>
      </c>
      <c r="CM45" s="116">
        <f t="shared" si="13"/>
        <v>0</v>
      </c>
      <c r="CN45" s="116">
        <f t="shared" si="13"/>
        <v>0</v>
      </c>
      <c r="CO45" s="116">
        <f t="shared" si="13"/>
        <v>0</v>
      </c>
      <c r="CP45" s="116">
        <f t="shared" si="13"/>
        <v>0</v>
      </c>
      <c r="CQ45" s="65"/>
      <c r="CR45" s="39"/>
    </row>
    <row r="46" spans="1:96" x14ac:dyDescent="0.25">
      <c r="A46" s="39"/>
      <c r="B46" s="39"/>
      <c r="C46" s="39"/>
      <c r="D46" s="39"/>
      <c r="E46" s="39"/>
      <c r="F46" s="101" t="s">
        <v>36</v>
      </c>
      <c r="G46" s="101" t="s">
        <v>191</v>
      </c>
      <c r="H46" s="116"/>
      <c r="I46" s="116"/>
      <c r="J46" s="116">
        <f>IF($F46 = J$41, 1, 0)</f>
        <v>0</v>
      </c>
      <c r="K46" s="116">
        <f t="shared" si="8"/>
        <v>0</v>
      </c>
      <c r="L46" s="116">
        <f t="shared" si="8"/>
        <v>0</v>
      </c>
      <c r="M46" s="116">
        <f t="shared" si="8"/>
        <v>0</v>
      </c>
      <c r="N46" s="116">
        <f t="shared" si="8"/>
        <v>0</v>
      </c>
      <c r="O46" s="116">
        <f t="shared" si="8"/>
        <v>0</v>
      </c>
      <c r="P46" s="116">
        <f t="shared" si="8"/>
        <v>0</v>
      </c>
      <c r="Q46" s="116">
        <f t="shared" si="8"/>
        <v>0</v>
      </c>
      <c r="R46" s="116">
        <f t="shared" si="8"/>
        <v>0</v>
      </c>
      <c r="S46" s="116">
        <f t="shared" si="8"/>
        <v>0</v>
      </c>
      <c r="T46" s="116">
        <f t="shared" si="8"/>
        <v>0</v>
      </c>
      <c r="U46" s="116">
        <f t="shared" si="8"/>
        <v>0</v>
      </c>
      <c r="V46" s="116">
        <f t="shared" si="8"/>
        <v>0</v>
      </c>
      <c r="W46" s="116">
        <f t="shared" si="8"/>
        <v>0</v>
      </c>
      <c r="X46" s="116">
        <f t="shared" si="8"/>
        <v>0</v>
      </c>
      <c r="Y46" s="116">
        <f t="shared" si="8"/>
        <v>0</v>
      </c>
      <c r="Z46" s="116">
        <f t="shared" si="8"/>
        <v>0</v>
      </c>
      <c r="AA46" s="116">
        <f t="shared" si="9"/>
        <v>0</v>
      </c>
      <c r="AB46" s="116">
        <f t="shared" si="9"/>
        <v>0</v>
      </c>
      <c r="AC46" s="116">
        <f t="shared" si="9"/>
        <v>0</v>
      </c>
      <c r="AD46" s="116">
        <f t="shared" si="9"/>
        <v>0</v>
      </c>
      <c r="AE46" s="116">
        <f t="shared" si="9"/>
        <v>0</v>
      </c>
      <c r="AF46" s="116">
        <f t="shared" si="9"/>
        <v>0</v>
      </c>
      <c r="AG46" s="116">
        <f t="shared" si="9"/>
        <v>0</v>
      </c>
      <c r="AH46" s="116">
        <f t="shared" si="9"/>
        <v>0</v>
      </c>
      <c r="AI46" s="116">
        <f t="shared" si="9"/>
        <v>0</v>
      </c>
      <c r="AJ46" s="116">
        <f t="shared" si="9"/>
        <v>0</v>
      </c>
      <c r="AK46" s="116">
        <f t="shared" si="9"/>
        <v>0</v>
      </c>
      <c r="AL46" s="116">
        <f t="shared" si="9"/>
        <v>0</v>
      </c>
      <c r="AM46" s="116">
        <f t="shared" si="9"/>
        <v>0</v>
      </c>
      <c r="AN46" s="116">
        <f t="shared" si="9"/>
        <v>0</v>
      </c>
      <c r="AO46" s="116">
        <f t="shared" si="9"/>
        <v>0</v>
      </c>
      <c r="AP46" s="116">
        <f t="shared" si="9"/>
        <v>0</v>
      </c>
      <c r="AQ46" s="116">
        <f t="shared" si="10"/>
        <v>0</v>
      </c>
      <c r="AR46" s="116">
        <f t="shared" si="10"/>
        <v>0</v>
      </c>
      <c r="AS46" s="116">
        <f t="shared" si="10"/>
        <v>0</v>
      </c>
      <c r="AT46" s="116">
        <f t="shared" si="10"/>
        <v>0</v>
      </c>
      <c r="AU46" s="116">
        <f t="shared" si="10"/>
        <v>0</v>
      </c>
      <c r="AV46" s="116">
        <f t="shared" si="10"/>
        <v>0</v>
      </c>
      <c r="AW46" s="116">
        <f t="shared" si="10"/>
        <v>0</v>
      </c>
      <c r="AX46" s="116">
        <f t="shared" si="10"/>
        <v>0</v>
      </c>
      <c r="AY46" s="116">
        <f t="shared" si="10"/>
        <v>0</v>
      </c>
      <c r="AZ46" s="116">
        <f t="shared" si="10"/>
        <v>0</v>
      </c>
      <c r="BA46" s="116">
        <f t="shared" si="10"/>
        <v>0</v>
      </c>
      <c r="BB46" s="116">
        <f t="shared" si="10"/>
        <v>0</v>
      </c>
      <c r="BC46" s="116">
        <f t="shared" si="10"/>
        <v>0</v>
      </c>
      <c r="BD46" s="116">
        <f t="shared" si="10"/>
        <v>0</v>
      </c>
      <c r="BE46" s="116">
        <f t="shared" si="10"/>
        <v>0</v>
      </c>
      <c r="BF46" s="116">
        <f t="shared" si="10"/>
        <v>0</v>
      </c>
      <c r="BG46" s="116">
        <f t="shared" si="11"/>
        <v>0</v>
      </c>
      <c r="BH46" s="116">
        <f t="shared" si="11"/>
        <v>0</v>
      </c>
      <c r="BI46" s="116">
        <f t="shared" si="11"/>
        <v>0</v>
      </c>
      <c r="BJ46" s="116">
        <f t="shared" si="11"/>
        <v>0</v>
      </c>
      <c r="BK46" s="116">
        <f t="shared" si="11"/>
        <v>0</v>
      </c>
      <c r="BL46" s="116">
        <f t="shared" si="11"/>
        <v>0</v>
      </c>
      <c r="BM46" s="116">
        <f t="shared" si="11"/>
        <v>1</v>
      </c>
      <c r="BN46" s="116">
        <f t="shared" si="11"/>
        <v>1</v>
      </c>
      <c r="BO46" s="116">
        <f t="shared" si="11"/>
        <v>1</v>
      </c>
      <c r="BP46" s="116">
        <f t="shared" si="11"/>
        <v>1</v>
      </c>
      <c r="BQ46" s="116">
        <f t="shared" si="11"/>
        <v>1</v>
      </c>
      <c r="BR46" s="116">
        <f t="shared" si="11"/>
        <v>0</v>
      </c>
      <c r="BS46" s="116">
        <f t="shared" si="11"/>
        <v>1</v>
      </c>
      <c r="BT46" s="116">
        <f t="shared" si="11"/>
        <v>0</v>
      </c>
      <c r="BU46" s="116">
        <f t="shared" si="11"/>
        <v>0</v>
      </c>
      <c r="BV46" s="116">
        <f t="shared" si="11"/>
        <v>0</v>
      </c>
      <c r="BW46" s="116">
        <f t="shared" si="12"/>
        <v>0</v>
      </c>
      <c r="BX46" s="116">
        <f t="shared" si="12"/>
        <v>0</v>
      </c>
      <c r="BY46" s="116">
        <f t="shared" si="12"/>
        <v>0</v>
      </c>
      <c r="BZ46" s="116">
        <f t="shared" si="12"/>
        <v>0</v>
      </c>
      <c r="CA46" s="116">
        <f t="shared" si="12"/>
        <v>0</v>
      </c>
      <c r="CB46" s="116">
        <f t="shared" si="12"/>
        <v>0</v>
      </c>
      <c r="CC46" s="116">
        <f t="shared" si="12"/>
        <v>0</v>
      </c>
      <c r="CD46" s="116">
        <f t="shared" si="12"/>
        <v>0</v>
      </c>
      <c r="CE46" s="116">
        <f t="shared" si="12"/>
        <v>0</v>
      </c>
      <c r="CF46" s="116">
        <f t="shared" si="12"/>
        <v>0</v>
      </c>
      <c r="CG46" s="116">
        <f t="shared" si="12"/>
        <v>0</v>
      </c>
      <c r="CH46" s="116">
        <f t="shared" si="12"/>
        <v>0</v>
      </c>
      <c r="CI46" s="116">
        <f t="shared" si="12"/>
        <v>0</v>
      </c>
      <c r="CJ46" s="116">
        <f t="shared" si="12"/>
        <v>0</v>
      </c>
      <c r="CK46" s="116">
        <f t="shared" si="12"/>
        <v>1</v>
      </c>
      <c r="CL46" s="116">
        <f t="shared" si="12"/>
        <v>1</v>
      </c>
      <c r="CM46" s="116">
        <f t="shared" si="13"/>
        <v>0</v>
      </c>
      <c r="CN46" s="116">
        <f t="shared" si="13"/>
        <v>0</v>
      </c>
      <c r="CO46" s="116">
        <f t="shared" si="13"/>
        <v>0</v>
      </c>
      <c r="CP46" s="116">
        <f t="shared" si="13"/>
        <v>0</v>
      </c>
      <c r="CQ46" s="65"/>
      <c r="CR46" s="39"/>
    </row>
    <row r="47" spans="1:96" x14ac:dyDescent="0.25">
      <c r="A47" s="39"/>
      <c r="B47" s="39"/>
      <c r="C47" s="39"/>
      <c r="D47" s="39"/>
      <c r="E47" s="39"/>
      <c r="F47" s="103" t="s">
        <v>35</v>
      </c>
      <c r="G47" s="103" t="s">
        <v>191</v>
      </c>
      <c r="H47" s="120"/>
      <c r="I47" s="121"/>
      <c r="J47" s="121">
        <f>IF($F47 = J$41, 1, 0)</f>
        <v>0</v>
      </c>
      <c r="K47" s="121">
        <f t="shared" si="8"/>
        <v>0</v>
      </c>
      <c r="L47" s="121">
        <f t="shared" si="8"/>
        <v>0</v>
      </c>
      <c r="M47" s="121">
        <f t="shared" si="8"/>
        <v>0</v>
      </c>
      <c r="N47" s="121">
        <f t="shared" si="8"/>
        <v>0</v>
      </c>
      <c r="O47" s="121">
        <f t="shared" si="8"/>
        <v>0</v>
      </c>
      <c r="P47" s="121">
        <f t="shared" si="8"/>
        <v>0</v>
      </c>
      <c r="Q47" s="121">
        <f t="shared" si="8"/>
        <v>0</v>
      </c>
      <c r="R47" s="121">
        <f t="shared" si="8"/>
        <v>0</v>
      </c>
      <c r="S47" s="121">
        <f t="shared" si="8"/>
        <v>0</v>
      </c>
      <c r="T47" s="121">
        <f t="shared" si="8"/>
        <v>0</v>
      </c>
      <c r="U47" s="121">
        <f t="shared" si="8"/>
        <v>0</v>
      </c>
      <c r="V47" s="121">
        <f t="shared" si="8"/>
        <v>0</v>
      </c>
      <c r="W47" s="121">
        <f t="shared" si="8"/>
        <v>0</v>
      </c>
      <c r="X47" s="121">
        <f t="shared" si="8"/>
        <v>0</v>
      </c>
      <c r="Y47" s="121">
        <f t="shared" si="8"/>
        <v>0</v>
      </c>
      <c r="Z47" s="121">
        <f t="shared" si="8"/>
        <v>0</v>
      </c>
      <c r="AA47" s="121">
        <f t="shared" si="9"/>
        <v>0</v>
      </c>
      <c r="AB47" s="121">
        <f t="shared" si="9"/>
        <v>0</v>
      </c>
      <c r="AC47" s="121">
        <f t="shared" si="9"/>
        <v>0</v>
      </c>
      <c r="AD47" s="121">
        <f t="shared" si="9"/>
        <v>0</v>
      </c>
      <c r="AE47" s="121">
        <f t="shared" si="9"/>
        <v>0</v>
      </c>
      <c r="AF47" s="121">
        <f t="shared" si="9"/>
        <v>0</v>
      </c>
      <c r="AG47" s="121">
        <f t="shared" si="9"/>
        <v>0</v>
      </c>
      <c r="AH47" s="121">
        <f t="shared" si="9"/>
        <v>0</v>
      </c>
      <c r="AI47" s="121">
        <f t="shared" si="9"/>
        <v>0</v>
      </c>
      <c r="AJ47" s="121">
        <f t="shared" si="9"/>
        <v>0</v>
      </c>
      <c r="AK47" s="121">
        <f t="shared" si="9"/>
        <v>0</v>
      </c>
      <c r="AL47" s="121">
        <f t="shared" si="9"/>
        <v>0</v>
      </c>
      <c r="AM47" s="121">
        <f t="shared" si="9"/>
        <v>0</v>
      </c>
      <c r="AN47" s="121">
        <f t="shared" si="9"/>
        <v>0</v>
      </c>
      <c r="AO47" s="121">
        <f t="shared" si="9"/>
        <v>0</v>
      </c>
      <c r="AP47" s="121">
        <f t="shared" si="9"/>
        <v>0</v>
      </c>
      <c r="AQ47" s="121">
        <f t="shared" si="10"/>
        <v>0</v>
      </c>
      <c r="AR47" s="121">
        <f t="shared" si="10"/>
        <v>0</v>
      </c>
      <c r="AS47" s="121">
        <f t="shared" si="10"/>
        <v>0</v>
      </c>
      <c r="AT47" s="121">
        <f t="shared" si="10"/>
        <v>0</v>
      </c>
      <c r="AU47" s="121">
        <f t="shared" si="10"/>
        <v>0</v>
      </c>
      <c r="AV47" s="121">
        <f t="shared" si="10"/>
        <v>0</v>
      </c>
      <c r="AW47" s="121">
        <f t="shared" si="10"/>
        <v>0</v>
      </c>
      <c r="AX47" s="121">
        <f t="shared" si="10"/>
        <v>0</v>
      </c>
      <c r="AY47" s="121">
        <f t="shared" si="10"/>
        <v>0</v>
      </c>
      <c r="AZ47" s="121">
        <f t="shared" si="10"/>
        <v>0</v>
      </c>
      <c r="BA47" s="121">
        <f t="shared" si="10"/>
        <v>0</v>
      </c>
      <c r="BB47" s="121">
        <f t="shared" si="10"/>
        <v>0</v>
      </c>
      <c r="BC47" s="121">
        <f t="shared" si="10"/>
        <v>0</v>
      </c>
      <c r="BD47" s="121">
        <f t="shared" si="10"/>
        <v>0</v>
      </c>
      <c r="BE47" s="121">
        <f t="shared" si="10"/>
        <v>0</v>
      </c>
      <c r="BF47" s="121">
        <f t="shared" si="10"/>
        <v>0</v>
      </c>
      <c r="BG47" s="121">
        <f t="shared" si="11"/>
        <v>0</v>
      </c>
      <c r="BH47" s="121">
        <f t="shared" si="11"/>
        <v>0</v>
      </c>
      <c r="BI47" s="121">
        <f t="shared" si="11"/>
        <v>0</v>
      </c>
      <c r="BJ47" s="121">
        <f t="shared" si="11"/>
        <v>0</v>
      </c>
      <c r="BK47" s="121">
        <f t="shared" si="11"/>
        <v>0</v>
      </c>
      <c r="BL47" s="121">
        <f t="shared" si="11"/>
        <v>0</v>
      </c>
      <c r="BM47" s="121">
        <f t="shared" si="11"/>
        <v>0</v>
      </c>
      <c r="BN47" s="121">
        <f t="shared" si="11"/>
        <v>0</v>
      </c>
      <c r="BO47" s="121">
        <f t="shared" si="11"/>
        <v>0</v>
      </c>
      <c r="BP47" s="121">
        <f t="shared" si="11"/>
        <v>0</v>
      </c>
      <c r="BQ47" s="121">
        <f t="shared" si="11"/>
        <v>0</v>
      </c>
      <c r="BR47" s="121">
        <f t="shared" si="11"/>
        <v>0</v>
      </c>
      <c r="BS47" s="121">
        <f t="shared" si="11"/>
        <v>0</v>
      </c>
      <c r="BT47" s="121">
        <f t="shared" si="11"/>
        <v>0</v>
      </c>
      <c r="BU47" s="121">
        <f t="shared" si="11"/>
        <v>0</v>
      </c>
      <c r="BV47" s="121">
        <f t="shared" si="11"/>
        <v>0</v>
      </c>
      <c r="BW47" s="121">
        <f t="shared" si="12"/>
        <v>0</v>
      </c>
      <c r="BX47" s="121">
        <f t="shared" si="12"/>
        <v>0</v>
      </c>
      <c r="BY47" s="121">
        <f t="shared" si="12"/>
        <v>0</v>
      </c>
      <c r="BZ47" s="121">
        <f t="shared" si="12"/>
        <v>1</v>
      </c>
      <c r="CA47" s="121">
        <f t="shared" si="12"/>
        <v>1</v>
      </c>
      <c r="CB47" s="121">
        <f t="shared" si="12"/>
        <v>1</v>
      </c>
      <c r="CC47" s="121">
        <f t="shared" si="12"/>
        <v>1</v>
      </c>
      <c r="CD47" s="121">
        <f t="shared" si="12"/>
        <v>1</v>
      </c>
      <c r="CE47" s="121">
        <f t="shared" si="12"/>
        <v>1</v>
      </c>
      <c r="CF47" s="121">
        <f t="shared" si="12"/>
        <v>1</v>
      </c>
      <c r="CG47" s="121">
        <f t="shared" si="12"/>
        <v>1</v>
      </c>
      <c r="CH47" s="121">
        <f t="shared" si="12"/>
        <v>1</v>
      </c>
      <c r="CI47" s="121">
        <f t="shared" si="12"/>
        <v>1</v>
      </c>
      <c r="CJ47" s="121">
        <f t="shared" si="12"/>
        <v>1</v>
      </c>
      <c r="CK47" s="121">
        <f t="shared" si="12"/>
        <v>0</v>
      </c>
      <c r="CL47" s="121">
        <f t="shared" si="12"/>
        <v>0</v>
      </c>
      <c r="CM47" s="121">
        <f t="shared" si="13"/>
        <v>0</v>
      </c>
      <c r="CN47" s="121">
        <f t="shared" si="13"/>
        <v>0</v>
      </c>
      <c r="CO47" s="121">
        <f t="shared" si="13"/>
        <v>0</v>
      </c>
      <c r="CP47" s="121">
        <f t="shared" si="13"/>
        <v>0</v>
      </c>
      <c r="CQ47" s="65"/>
      <c r="CR47" s="39"/>
    </row>
    <row r="48" spans="1:9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39"/>
    </row>
    <row r="49" spans="1:96" x14ac:dyDescent="0.25">
      <c r="A49" s="39"/>
      <c r="B49" s="39"/>
      <c r="C49" s="96" t="s">
        <v>698</v>
      </c>
      <c r="D49" s="96"/>
      <c r="E49" s="96"/>
      <c r="F49" s="96"/>
      <c r="G49" s="96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6"/>
    </row>
    <row r="50" spans="1:96" x14ac:dyDescent="0.25">
      <c r="A50" s="39"/>
      <c r="B50" s="39"/>
      <c r="C50" s="95"/>
      <c r="D50" s="95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39"/>
    </row>
    <row r="51" spans="1:96" x14ac:dyDescent="0.25">
      <c r="A51" s="101"/>
      <c r="B51" s="39"/>
      <c r="C51" s="39"/>
      <c r="D51" s="95"/>
      <c r="E51" s="98" t="s">
        <v>337</v>
      </c>
      <c r="F51" s="39"/>
      <c r="G51" s="39"/>
      <c r="H51" s="65"/>
      <c r="I51" s="112" t="s">
        <v>314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101" t="s">
        <v>569</v>
      </c>
    </row>
    <row r="52" spans="1:96" x14ac:dyDescent="0.25">
      <c r="A52" s="39"/>
      <c r="B52" s="39"/>
      <c r="C52" s="39"/>
      <c r="D52" s="39"/>
      <c r="E52" s="39"/>
      <c r="F52" s="99" t="s">
        <v>193</v>
      </c>
      <c r="G52" s="99" t="str">
        <f>G$24</f>
        <v>£m</v>
      </c>
      <c r="H52" s="125">
        <f>SUMPRODUCT(J32:CP32, J$24:CP$24)</f>
        <v>3904.524236464154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65"/>
      <c r="CR52" s="39"/>
    </row>
    <row r="53" spans="1:96" x14ac:dyDescent="0.25">
      <c r="A53" s="39"/>
      <c r="B53" s="39"/>
      <c r="C53" s="39"/>
      <c r="D53" s="39"/>
      <c r="E53" s="39"/>
      <c r="F53" s="101" t="s">
        <v>194</v>
      </c>
      <c r="G53" s="101" t="str">
        <f>G$24</f>
        <v>£m</v>
      </c>
      <c r="H53" s="110">
        <f>SUMPRODUCT(J33:CP33, J$24:CP$24)</f>
        <v>3736.0224253502133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65"/>
      <c r="CR53" s="39"/>
    </row>
    <row r="54" spans="1:96" x14ac:dyDescent="0.25">
      <c r="A54" s="39"/>
      <c r="B54" s="39"/>
      <c r="C54" s="39"/>
      <c r="D54" s="39"/>
      <c r="E54" s="39"/>
      <c r="F54" s="101" t="s">
        <v>41</v>
      </c>
      <c r="G54" s="101" t="str">
        <f>G$24</f>
        <v>£m</v>
      </c>
      <c r="H54" s="110">
        <f>SUMPRODUCT(J34:CP34, J$24:CP$24)</f>
        <v>591.80799240345823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65"/>
      <c r="CR54" s="39"/>
    </row>
    <row r="55" spans="1:96" x14ac:dyDescent="0.25">
      <c r="A55" s="39"/>
      <c r="B55" s="39"/>
      <c r="C55" s="39"/>
      <c r="D55" s="39"/>
      <c r="E55" s="39"/>
      <c r="F55" s="101" t="s">
        <v>40</v>
      </c>
      <c r="G55" s="101" t="str">
        <f>G$24</f>
        <v>£m</v>
      </c>
      <c r="H55" s="110">
        <f>SUMPRODUCT(J35:CP35, J$24:CP$24)</f>
        <v>2201.7669582331696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65"/>
      <c r="CR55" s="39"/>
    </row>
    <row r="56" spans="1:96" x14ac:dyDescent="0.25">
      <c r="A56" s="39"/>
      <c r="B56" s="39"/>
      <c r="C56" s="39"/>
      <c r="D56" s="39"/>
      <c r="E56" s="39"/>
      <c r="F56" s="103" t="s">
        <v>166</v>
      </c>
      <c r="G56" s="103" t="str">
        <f>G$24</f>
        <v>£m</v>
      </c>
      <c r="H56" s="126">
        <f>SUMPRODUCT(J36:CP36, J$24:CP$24)</f>
        <v>6310.9499616363082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65"/>
      <c r="CR56" s="39"/>
    </row>
    <row r="57" spans="1:9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39"/>
    </row>
    <row r="58" spans="1:96" x14ac:dyDescent="0.25">
      <c r="A58" s="39"/>
      <c r="B58" s="39"/>
      <c r="C58" s="39"/>
      <c r="D58" s="39"/>
      <c r="E58" s="101" t="s">
        <v>276</v>
      </c>
      <c r="F58" s="39"/>
      <c r="G58" s="101" t="str">
        <f>G$24</f>
        <v>£m</v>
      </c>
      <c r="H58" s="110">
        <f>SUM(H52:H56)</f>
        <v>16745.071574087306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65"/>
      <c r="CR58" s="39"/>
    </row>
    <row r="59" spans="1:96" x14ac:dyDescent="0.25">
      <c r="A59" s="39"/>
      <c r="B59" s="39"/>
      <c r="C59" s="39"/>
      <c r="D59" s="39"/>
      <c r="E59" s="101" t="s">
        <v>514</v>
      </c>
      <c r="F59" s="39"/>
      <c r="G59" s="101" t="s">
        <v>470</v>
      </c>
      <c r="H59" s="110" t="b">
        <f>H52 + H53 &gt; 0</f>
        <v>1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65"/>
      <c r="CR59" s="39"/>
    </row>
    <row r="60" spans="1:96" x14ac:dyDescent="0.25">
      <c r="A60" s="39"/>
      <c r="B60" s="39"/>
      <c r="C60" s="39"/>
      <c r="D60" s="39"/>
      <c r="E60" s="101" t="s">
        <v>515</v>
      </c>
      <c r="F60" s="39"/>
      <c r="G60" s="101" t="s">
        <v>470</v>
      </c>
      <c r="H60" s="110" t="b">
        <f>H58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65"/>
      <c r="CR60" s="39"/>
    </row>
    <row r="61" spans="1:96" x14ac:dyDescent="0.25">
      <c r="A61" s="39"/>
      <c r="B61" s="39"/>
      <c r="C61" s="39"/>
      <c r="D61" s="39"/>
      <c r="E61" s="101"/>
      <c r="F61" s="39"/>
      <c r="G61" s="101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65"/>
      <c r="CR61" s="39"/>
    </row>
    <row r="62" spans="1:96" x14ac:dyDescent="0.25">
      <c r="A62" s="39"/>
      <c r="B62" s="39"/>
      <c r="C62" s="39"/>
      <c r="D62" s="39"/>
      <c r="E62" s="101" t="s">
        <v>746</v>
      </c>
      <c r="F62" s="39"/>
      <c r="G62" s="101" t="str">
        <f>G$24</f>
        <v>£m</v>
      </c>
      <c r="H62" s="110">
        <f>H58 - H25</f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65"/>
      <c r="CR62" s="39"/>
    </row>
    <row r="63" spans="1:96" x14ac:dyDescent="0.25">
      <c r="A63" s="39"/>
      <c r="B63" s="39"/>
      <c r="C63" s="39"/>
      <c r="D63" s="39"/>
      <c r="E63" s="101" t="s">
        <v>526</v>
      </c>
      <c r="F63" s="39"/>
      <c r="G63" s="101" t="s">
        <v>231</v>
      </c>
      <c r="H63" s="116">
        <f>IF(H62 = 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65"/>
      <c r="CR63" s="39"/>
    </row>
    <row r="64" spans="1:9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39"/>
    </row>
    <row r="65" spans="1:96" x14ac:dyDescent="0.25">
      <c r="A65" s="101"/>
      <c r="B65" s="39"/>
      <c r="C65" s="39"/>
      <c r="D65" s="39"/>
      <c r="E65" s="98" t="s">
        <v>338</v>
      </c>
      <c r="F65" s="39"/>
      <c r="G65" s="39"/>
      <c r="H65" s="65"/>
      <c r="I65" s="112" t="s">
        <v>314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101" t="s">
        <v>569</v>
      </c>
    </row>
    <row r="66" spans="1:96" x14ac:dyDescent="0.25">
      <c r="A66" s="39"/>
      <c r="B66" s="39"/>
      <c r="C66" s="39"/>
      <c r="D66" s="39"/>
      <c r="E66" s="39"/>
      <c r="F66" s="99" t="s">
        <v>193</v>
      </c>
      <c r="G66" s="99" t="s">
        <v>44</v>
      </c>
      <c r="H66" s="133">
        <f>IF(H$60, H52 / H$58, 0)</f>
        <v>0.23317453252969872</v>
      </c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65"/>
      <c r="CR66" s="39"/>
    </row>
    <row r="67" spans="1:96" x14ac:dyDescent="0.25">
      <c r="A67" s="39"/>
      <c r="B67" s="39"/>
      <c r="C67" s="39"/>
      <c r="D67" s="39"/>
      <c r="E67" s="39"/>
      <c r="F67" s="101" t="s">
        <v>194</v>
      </c>
      <c r="G67" s="101" t="s">
        <v>44</v>
      </c>
      <c r="H67" s="134">
        <f>IF(H$60, H53 / H$58, 0)</f>
        <v>0.22311176209790828</v>
      </c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65"/>
      <c r="CR67" s="39"/>
    </row>
    <row r="68" spans="1:96" x14ac:dyDescent="0.25">
      <c r="A68" s="39"/>
      <c r="B68" s="39"/>
      <c r="C68" s="39"/>
      <c r="D68" s="39"/>
      <c r="E68" s="39"/>
      <c r="F68" s="101" t="s">
        <v>41</v>
      </c>
      <c r="G68" s="101" t="s">
        <v>44</v>
      </c>
      <c r="H68" s="134">
        <f>IF(H$60, H54 / H$58, 0)</f>
        <v>3.5342219338092909E-2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65"/>
      <c r="CR68" s="39"/>
    </row>
    <row r="69" spans="1:96" x14ac:dyDescent="0.25">
      <c r="A69" s="39"/>
      <c r="B69" s="39"/>
      <c r="C69" s="39"/>
      <c r="D69" s="39"/>
      <c r="E69" s="39"/>
      <c r="F69" s="101" t="s">
        <v>40</v>
      </c>
      <c r="G69" s="101" t="s">
        <v>44</v>
      </c>
      <c r="H69" s="134">
        <f>IF(H$60, H55 / H$58, 0)</f>
        <v>0.13148746175802342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65"/>
      <c r="CR69" s="39"/>
    </row>
    <row r="70" spans="1:96" x14ac:dyDescent="0.25">
      <c r="A70" s="39"/>
      <c r="B70" s="39"/>
      <c r="C70" s="39"/>
      <c r="D70" s="39"/>
      <c r="E70" s="39"/>
      <c r="F70" s="103" t="s">
        <v>166</v>
      </c>
      <c r="G70" s="103" t="s">
        <v>44</v>
      </c>
      <c r="H70" s="135">
        <f>IF(H$60, H56 / H$58, 0)</f>
        <v>0.37688402427627654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65"/>
      <c r="CR70" s="39"/>
    </row>
    <row r="71" spans="1:9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39"/>
    </row>
    <row r="72" spans="1:96" x14ac:dyDescent="0.25">
      <c r="A72" s="39"/>
      <c r="B72" s="39"/>
      <c r="C72" s="39"/>
      <c r="D72" s="39"/>
      <c r="E72" s="101" t="s">
        <v>239</v>
      </c>
      <c r="F72" s="39"/>
      <c r="G72" s="101" t="s">
        <v>231</v>
      </c>
      <c r="H72" s="116">
        <f>IF(SUM(H66:H70)= 1, 0, 1)</f>
        <v>0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65"/>
      <c r="CR72" s="39"/>
    </row>
    <row r="73" spans="1:96" x14ac:dyDescent="0.25">
      <c r="A73" s="39"/>
      <c r="B73" s="39"/>
      <c r="C73" s="39"/>
      <c r="D73" s="39"/>
      <c r="E73" s="95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39"/>
    </row>
    <row r="74" spans="1:96" x14ac:dyDescent="0.25">
      <c r="A74" s="101"/>
      <c r="B74" s="39"/>
      <c r="C74" s="39"/>
      <c r="D74" s="39"/>
      <c r="E74" s="98" t="s">
        <v>339</v>
      </c>
      <c r="F74" s="39"/>
      <c r="G74" s="39"/>
      <c r="H74" s="65"/>
      <c r="I74" s="112" t="s">
        <v>314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101" t="s">
        <v>357</v>
      </c>
    </row>
    <row r="75" spans="1:96" x14ac:dyDescent="0.25">
      <c r="A75" s="39"/>
      <c r="B75" s="39"/>
      <c r="C75" s="39"/>
      <c r="D75" s="39"/>
      <c r="E75" s="39"/>
      <c r="F75" s="99" t="s">
        <v>240</v>
      </c>
      <c r="G75" s="99" t="s">
        <v>44</v>
      </c>
      <c r="H75" s="133">
        <f>IF(H$59, H66 / (H$66 + H$67), 0)</f>
        <v>0.51102681644207948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115"/>
      <c r="CP75" s="115"/>
      <c r="CQ75" s="65"/>
      <c r="CR75" s="39"/>
    </row>
    <row r="76" spans="1:96" x14ac:dyDescent="0.25">
      <c r="A76" s="39"/>
      <c r="B76" s="39"/>
      <c r="C76" s="39"/>
      <c r="D76" s="39"/>
      <c r="E76" s="39"/>
      <c r="F76" s="103" t="s">
        <v>241</v>
      </c>
      <c r="G76" s="103" t="s">
        <v>44</v>
      </c>
      <c r="H76" s="130">
        <f>IF(H$59, H67 / (H$66 + H$67), 0)</f>
        <v>0.48897318355792052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65"/>
      <c r="CR76" s="39"/>
    </row>
    <row r="77" spans="1:96" x14ac:dyDescent="0.25">
      <c r="A77" s="39"/>
      <c r="B77" s="39"/>
      <c r="C77" s="39"/>
      <c r="D77" s="39"/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39"/>
    </row>
    <row r="78" spans="1:96" x14ac:dyDescent="0.25">
      <c r="A78" s="39"/>
      <c r="B78" s="39"/>
      <c r="C78" s="39"/>
      <c r="D78" s="39"/>
      <c r="E78" s="101" t="s">
        <v>239</v>
      </c>
      <c r="F78" s="39"/>
      <c r="G78" s="101" t="s">
        <v>231</v>
      </c>
      <c r="H78" s="116">
        <f>IF(SUM(H75:H76)= 1, 0, 1)</f>
        <v>0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65"/>
      <c r="CR78" s="39"/>
    </row>
    <row r="79" spans="1:96" x14ac:dyDescent="0.25">
      <c r="A79" s="39"/>
      <c r="B79" s="39"/>
      <c r="C79" s="39"/>
      <c r="D79" s="39"/>
      <c r="E79" s="95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39"/>
    </row>
    <row r="80" spans="1:96" x14ac:dyDescent="0.25">
      <c r="A80" s="39"/>
      <c r="B80" s="39"/>
      <c r="C80" s="96" t="s">
        <v>699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6"/>
    </row>
    <row r="81" spans="1:9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39"/>
    </row>
    <row r="82" spans="1:96" x14ac:dyDescent="0.25">
      <c r="A82" s="101"/>
      <c r="B82" s="39"/>
      <c r="C82" s="39"/>
      <c r="D82" s="39"/>
      <c r="E82" s="98" t="s">
        <v>322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101" t="s">
        <v>604</v>
      </c>
    </row>
    <row r="83" spans="1:96" x14ac:dyDescent="0.25">
      <c r="A83" s="39"/>
      <c r="B83" s="39"/>
      <c r="C83" s="39"/>
      <c r="D83" s="39"/>
      <c r="E83" s="39"/>
      <c r="F83" s="99" t="s">
        <v>38</v>
      </c>
      <c r="G83" s="99" t="str">
        <f>G$24</f>
        <v>£m</v>
      </c>
      <c r="H83" s="125">
        <f>SUMPRODUCT(J44:CP44, J$24:CP$24)</f>
        <v>1318.6943352575638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65"/>
      <c r="CR83" s="39"/>
    </row>
    <row r="84" spans="1:96" x14ac:dyDescent="0.25">
      <c r="A84" s="39"/>
      <c r="B84" s="39"/>
      <c r="C84" s="39"/>
      <c r="D84" s="39"/>
      <c r="E84" s="39"/>
      <c r="F84" s="101" t="s">
        <v>37</v>
      </c>
      <c r="G84" s="101" t="str">
        <f>G$24</f>
        <v>£m</v>
      </c>
      <c r="H84" s="110">
        <f>SUMPRODUCT(J45:CP45, J$24:CP$24)</f>
        <v>358.37052060258048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65"/>
      <c r="CR84" s="39"/>
    </row>
    <row r="85" spans="1:96" x14ac:dyDescent="0.25">
      <c r="A85" s="39"/>
      <c r="B85" s="39"/>
      <c r="C85" s="39"/>
      <c r="D85" s="39"/>
      <c r="E85" s="39"/>
      <c r="F85" s="101" t="s">
        <v>36</v>
      </c>
      <c r="G85" s="101" t="str">
        <f>G$24</f>
        <v>£m</v>
      </c>
      <c r="H85" s="110">
        <f>SUMPRODUCT(J46:CP46, J$24:CP$24)</f>
        <v>687.1772191354363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65"/>
      <c r="CR85" s="39"/>
    </row>
    <row r="86" spans="1:96" x14ac:dyDescent="0.25">
      <c r="A86" s="39"/>
      <c r="B86" s="39"/>
      <c r="C86" s="39"/>
      <c r="D86" s="39"/>
      <c r="E86" s="39"/>
      <c r="F86" s="103" t="s">
        <v>35</v>
      </c>
      <c r="G86" s="103" t="str">
        <f>G$24</f>
        <v>£m</v>
      </c>
      <c r="H86" s="126">
        <f>SUMPRODUCT(J47:CP47, J$24:CP$24)</f>
        <v>4276.6629947081392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65"/>
      <c r="CR86" s="39"/>
    </row>
    <row r="87" spans="1:9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39"/>
    </row>
    <row r="88" spans="1:96" x14ac:dyDescent="0.25">
      <c r="A88" s="101"/>
      <c r="B88" s="39"/>
      <c r="C88" s="39"/>
      <c r="D88" s="39"/>
      <c r="E88" s="101" t="s">
        <v>278</v>
      </c>
      <c r="F88" s="39"/>
      <c r="G88" s="101" t="str">
        <f>G$24</f>
        <v>£m</v>
      </c>
      <c r="H88" s="110">
        <f>SUM(H83:H86)</f>
        <v>6640.9050697037201</v>
      </c>
      <c r="I88" s="123" t="s">
        <v>314</v>
      </c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65"/>
      <c r="CR88" s="101" t="s">
        <v>604</v>
      </c>
    </row>
    <row r="89" spans="1:96" x14ac:dyDescent="0.25">
      <c r="A89" s="39"/>
      <c r="B89" s="39"/>
      <c r="C89" s="39"/>
      <c r="D89" s="39"/>
      <c r="E89" s="101" t="s">
        <v>516</v>
      </c>
      <c r="F89" s="39"/>
      <c r="G89" s="101" t="s">
        <v>470</v>
      </c>
      <c r="H89" s="110" t="b">
        <f>H88 &gt; 0</f>
        <v>1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65"/>
      <c r="CR89" s="39"/>
    </row>
    <row r="90" spans="1:96" x14ac:dyDescent="0.25">
      <c r="A90" s="39"/>
      <c r="B90" s="39"/>
      <c r="C90" s="39"/>
      <c r="D90" s="39"/>
      <c r="E90" s="95"/>
      <c r="F90" s="39"/>
      <c r="G90" s="39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39"/>
    </row>
    <row r="91" spans="1:96" x14ac:dyDescent="0.25">
      <c r="A91" s="101"/>
      <c r="B91" s="39"/>
      <c r="C91" s="39"/>
      <c r="D91" s="39"/>
      <c r="E91" s="98" t="s">
        <v>322</v>
      </c>
      <c r="F91" s="39"/>
      <c r="G91" s="39"/>
      <c r="H91" s="65"/>
      <c r="I91" s="112" t="s">
        <v>314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101" t="s">
        <v>604</v>
      </c>
    </row>
    <row r="92" spans="1:96" x14ac:dyDescent="0.25">
      <c r="A92" s="39"/>
      <c r="B92" s="39"/>
      <c r="C92" s="39"/>
      <c r="D92" s="39"/>
      <c r="E92" s="39"/>
      <c r="F92" s="99" t="s">
        <v>38</v>
      </c>
      <c r="G92" s="99" t="s">
        <v>44</v>
      </c>
      <c r="H92" s="133">
        <f>IF(H$89, H83 / H$88, 0)</f>
        <v>0.19857147804650016</v>
      </c>
      <c r="I92" s="111" t="s">
        <v>314</v>
      </c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65"/>
      <c r="CR92" s="101" t="s">
        <v>537</v>
      </c>
    </row>
    <row r="93" spans="1:96" x14ac:dyDescent="0.25">
      <c r="A93" s="39"/>
      <c r="B93" s="39"/>
      <c r="C93" s="39"/>
      <c r="D93" s="39"/>
      <c r="E93" s="39"/>
      <c r="F93" s="101" t="s">
        <v>37</v>
      </c>
      <c r="G93" s="101" t="s">
        <v>44</v>
      </c>
      <c r="H93" s="134">
        <f>IF(H$89, H84 / H$88, 0)</f>
        <v>5.3964108331783299E-2</v>
      </c>
      <c r="I93" s="111" t="s">
        <v>314</v>
      </c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15"/>
      <c r="CF93" s="115"/>
      <c r="CG93" s="115"/>
      <c r="CH93" s="115"/>
      <c r="CI93" s="115"/>
      <c r="CJ93" s="115"/>
      <c r="CK93" s="115"/>
      <c r="CL93" s="115"/>
      <c r="CM93" s="115"/>
      <c r="CN93" s="115"/>
      <c r="CO93" s="115"/>
      <c r="CP93" s="115"/>
      <c r="CQ93" s="65"/>
      <c r="CR93" s="101" t="s">
        <v>538</v>
      </c>
    </row>
    <row r="94" spans="1:96" x14ac:dyDescent="0.25">
      <c r="A94" s="39"/>
      <c r="B94" s="39"/>
      <c r="C94" s="39"/>
      <c r="D94" s="39"/>
      <c r="E94" s="39"/>
      <c r="F94" s="101" t="s">
        <v>36</v>
      </c>
      <c r="G94" s="101" t="s">
        <v>44</v>
      </c>
      <c r="H94" s="134">
        <f>IF(H$89, H85 / H$88, 0)</f>
        <v>0.10347644062409317</v>
      </c>
      <c r="I94" s="111" t="s">
        <v>314</v>
      </c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115"/>
      <c r="CP94" s="115"/>
      <c r="CQ94" s="65"/>
      <c r="CR94" s="101" t="s">
        <v>540</v>
      </c>
    </row>
    <row r="95" spans="1:96" x14ac:dyDescent="0.25">
      <c r="A95" s="39"/>
      <c r="B95" s="39"/>
      <c r="C95" s="39"/>
      <c r="D95" s="39"/>
      <c r="E95" s="39"/>
      <c r="F95" s="103" t="s">
        <v>35</v>
      </c>
      <c r="G95" s="103" t="s">
        <v>44</v>
      </c>
      <c r="H95" s="135">
        <f>IF(H$89, H86 / H$88, 0)</f>
        <v>0.64398797299762334</v>
      </c>
      <c r="I95" s="111" t="s">
        <v>314</v>
      </c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65"/>
      <c r="CR95" s="101" t="s">
        <v>539</v>
      </c>
    </row>
    <row r="96" spans="1:9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39"/>
    </row>
    <row r="97" spans="1:96" x14ac:dyDescent="0.25">
      <c r="A97" s="39"/>
      <c r="B97" s="39"/>
      <c r="C97" s="39"/>
      <c r="D97" s="39"/>
      <c r="E97" s="101" t="s">
        <v>239</v>
      </c>
      <c r="F97" s="39"/>
      <c r="G97" s="101" t="s">
        <v>231</v>
      </c>
      <c r="H97" s="116">
        <f>IF(SUM(H92:H95) = 1, 0, 1)</f>
        <v>0</v>
      </c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65"/>
      <c r="CR97" s="39"/>
    </row>
    <row r="98" spans="1:96" x14ac:dyDescent="0.25">
      <c r="A98" s="39"/>
      <c r="B98" s="39"/>
      <c r="C98" s="39"/>
      <c r="D98" s="39"/>
      <c r="E98" s="95"/>
      <c r="F98" s="39"/>
      <c r="G98" s="39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39"/>
    </row>
    <row r="99" spans="1:96" x14ac:dyDescent="0.25">
      <c r="A99" s="39"/>
      <c r="B99" s="93" t="s">
        <v>237</v>
      </c>
      <c r="C99" s="93"/>
      <c r="D99" s="93"/>
      <c r="E99" s="93"/>
      <c r="F99" s="93"/>
      <c r="G99" s="93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3"/>
    </row>
    <row r="100" spans="1:96" x14ac:dyDescent="0.25">
      <c r="A100" s="39"/>
      <c r="B100" s="39"/>
      <c r="C100" s="39"/>
      <c r="D100" s="39"/>
      <c r="E100" s="39"/>
      <c r="F100" s="39"/>
      <c r="G100" s="39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39"/>
    </row>
    <row r="101" spans="1:96" x14ac:dyDescent="0.25">
      <c r="A101" s="39"/>
      <c r="B101" s="39"/>
      <c r="C101" s="95" t="s">
        <v>396</v>
      </c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39"/>
    </row>
    <row r="102" spans="1:96" x14ac:dyDescent="0.25">
      <c r="A102" s="39"/>
      <c r="B102" s="39"/>
      <c r="C102" s="95"/>
      <c r="D102" s="95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39"/>
    </row>
    <row r="103" spans="1:96" x14ac:dyDescent="0.25">
      <c r="A103" s="39"/>
      <c r="B103" s="39"/>
      <c r="C103" s="96" t="s">
        <v>696</v>
      </c>
      <c r="D103" s="96"/>
      <c r="E103" s="96"/>
      <c r="F103" s="96"/>
      <c r="G103" s="96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6"/>
    </row>
    <row r="104" spans="1:96" x14ac:dyDescent="0.25">
      <c r="A104" s="39"/>
      <c r="B104" s="39"/>
      <c r="C104" s="95"/>
      <c r="D104" s="95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39"/>
    </row>
    <row r="105" spans="1:96" x14ac:dyDescent="0.25">
      <c r="A105" s="39"/>
      <c r="B105" s="39"/>
      <c r="C105" s="39"/>
      <c r="D105" s="95"/>
      <c r="E105" s="101" t="s">
        <v>233</v>
      </c>
      <c r="F105" s="39"/>
      <c r="G105" s="101" t="str">
        <f>G56</f>
        <v>£m</v>
      </c>
      <c r="H105" s="110">
        <f>H56</f>
        <v>6310.9499616363082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65"/>
      <c r="CR105" s="39"/>
    </row>
    <row r="106" spans="1:96" x14ac:dyDescent="0.25">
      <c r="A106" s="39"/>
      <c r="B106" s="39"/>
      <c r="C106" s="39"/>
      <c r="D106" s="39"/>
      <c r="E106" s="95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39"/>
    </row>
    <row r="107" spans="1:96" x14ac:dyDescent="0.25">
      <c r="A107" s="39"/>
      <c r="B107" s="39"/>
      <c r="C107" s="39"/>
      <c r="D107" s="39"/>
      <c r="E107" s="98" t="str">
        <f>'DNO inputs'!E37</f>
        <v>CDCM notional EHV asset values</v>
      </c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39"/>
    </row>
    <row r="108" spans="1:96" x14ac:dyDescent="0.25">
      <c r="A108" s="39"/>
      <c r="B108" s="39"/>
      <c r="C108" s="39"/>
      <c r="D108" s="39"/>
      <c r="E108" s="39"/>
      <c r="F108" s="99" t="str">
        <f>'DNO inputs'!F38</f>
        <v>132kV</v>
      </c>
      <c r="G108" s="99" t="str">
        <f>'DNO inputs'!G38</f>
        <v>£</v>
      </c>
      <c r="H108" s="136">
        <f>'DNO inputs'!H38</f>
        <v>451907885.25652325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65"/>
      <c r="CR108" s="39"/>
    </row>
    <row r="109" spans="1:96" x14ac:dyDescent="0.25">
      <c r="A109" s="39"/>
      <c r="B109" s="39"/>
      <c r="C109" s="39"/>
      <c r="D109" s="39"/>
      <c r="E109" s="39"/>
      <c r="F109" s="101" t="str">
        <f>'DNO inputs'!F39</f>
        <v>132kV/EHV</v>
      </c>
      <c r="G109" s="101" t="str">
        <f>'DNO inputs'!G39</f>
        <v>£</v>
      </c>
      <c r="H109" s="132">
        <f>'DNO inputs'!H39</f>
        <v>99709541.48543556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65"/>
      <c r="CR109" s="39"/>
    </row>
    <row r="110" spans="1:96" x14ac:dyDescent="0.25">
      <c r="A110" s="39"/>
      <c r="B110" s="39"/>
      <c r="C110" s="39"/>
      <c r="D110" s="39"/>
      <c r="E110" s="39"/>
      <c r="F110" s="101" t="str">
        <f>'DNO inputs'!F40</f>
        <v>EHV</v>
      </c>
      <c r="G110" s="101" t="str">
        <f>'DNO inputs'!G40</f>
        <v>£</v>
      </c>
      <c r="H110" s="132">
        <f>'DNO inputs'!H40</f>
        <v>110569730.82265268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65"/>
      <c r="CR110" s="39"/>
    </row>
    <row r="111" spans="1:96" x14ac:dyDescent="0.25">
      <c r="A111" s="39"/>
      <c r="B111" s="39"/>
      <c r="C111" s="39"/>
      <c r="D111" s="39"/>
      <c r="E111" s="39"/>
      <c r="F111" s="101" t="str">
        <f>'DNO inputs'!F41</f>
        <v>EHV/HV</v>
      </c>
      <c r="G111" s="101" t="str">
        <f>'DNO inputs'!G41</f>
        <v>£</v>
      </c>
      <c r="H111" s="132">
        <f>'DNO inputs'!H41</f>
        <v>292992667.77739102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65"/>
      <c r="CR111" s="39"/>
    </row>
    <row r="112" spans="1:96" x14ac:dyDescent="0.25">
      <c r="A112" s="39"/>
      <c r="B112" s="39"/>
      <c r="C112" s="39"/>
      <c r="D112" s="39"/>
      <c r="E112" s="39"/>
      <c r="F112" s="103" t="str">
        <f>'DNO inputs'!F42</f>
        <v>132kV/HV</v>
      </c>
      <c r="G112" s="103" t="str">
        <f>'DNO inputs'!G42</f>
        <v>£</v>
      </c>
      <c r="H112" s="137">
        <f>'DNO inputs'!H42</f>
        <v>318498242.5608086</v>
      </c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65"/>
      <c r="CR112" s="39"/>
    </row>
    <row r="113" spans="1:96" x14ac:dyDescent="0.25">
      <c r="A113" s="39"/>
      <c r="B113" s="39"/>
      <c r="C113" s="39"/>
      <c r="D113" s="39"/>
      <c r="E113" s="39"/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39"/>
    </row>
    <row r="114" spans="1:96" x14ac:dyDescent="0.25">
      <c r="A114" s="101"/>
      <c r="B114" s="39"/>
      <c r="C114" s="39"/>
      <c r="D114" s="39"/>
      <c r="E114" s="101" t="s">
        <v>234</v>
      </c>
      <c r="F114" s="39"/>
      <c r="G114" s="101" t="s">
        <v>439</v>
      </c>
      <c r="H114" s="110">
        <f>SUM(H108:H112)</f>
        <v>1273678067.9028113</v>
      </c>
      <c r="I114" s="123" t="s">
        <v>314</v>
      </c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65"/>
      <c r="CR114" s="101" t="s">
        <v>573</v>
      </c>
    </row>
    <row r="115" spans="1:96" x14ac:dyDescent="0.25">
      <c r="A115" s="39"/>
      <c r="B115" s="39"/>
      <c r="C115" s="39"/>
      <c r="D115" s="39"/>
      <c r="E115" s="95"/>
      <c r="F115" s="39"/>
      <c r="G115" s="39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39"/>
    </row>
    <row r="116" spans="1:96" x14ac:dyDescent="0.25">
      <c r="A116" s="39"/>
      <c r="B116" s="39"/>
      <c r="C116" s="39"/>
      <c r="D116" s="39"/>
      <c r="E116" s="101" t="str">
        <f>'DNO inputs'!E56</f>
        <v>EDCM notional asset value, total</v>
      </c>
      <c r="F116" s="39"/>
      <c r="G116" s="101" t="str">
        <f>'DNO inputs'!G56</f>
        <v>£</v>
      </c>
      <c r="H116" s="132">
        <f>'DNO inputs'!H56</f>
        <v>216873433.88036281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65"/>
      <c r="CR116" s="39"/>
    </row>
    <row r="117" spans="1:96" x14ac:dyDescent="0.25">
      <c r="A117" s="39"/>
      <c r="B117" s="39"/>
      <c r="C117" s="39"/>
      <c r="D117" s="39"/>
      <c r="E117" s="95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39"/>
    </row>
    <row r="118" spans="1:96" x14ac:dyDescent="0.25">
      <c r="A118" s="39"/>
      <c r="B118" s="39"/>
      <c r="C118" s="39"/>
      <c r="D118" s="39"/>
      <c r="E118" s="101" t="s">
        <v>517</v>
      </c>
      <c r="F118" s="39"/>
      <c r="G118" s="101" t="s">
        <v>470</v>
      </c>
      <c r="H118" s="110" t="b">
        <f>H114 + H116 &gt; 0</f>
        <v>1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65"/>
      <c r="CR118" s="39"/>
    </row>
    <row r="119" spans="1:9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39"/>
    </row>
    <row r="120" spans="1:96" x14ac:dyDescent="0.25">
      <c r="A120" s="101"/>
      <c r="B120" s="39"/>
      <c r="C120" s="39"/>
      <c r="D120" s="39"/>
      <c r="E120" s="101" t="s">
        <v>235</v>
      </c>
      <c r="F120" s="39"/>
      <c r="G120" s="101" t="s">
        <v>44</v>
      </c>
      <c r="H120" s="134">
        <f>IF(H118, H114 / (H114 + H116), 1)</f>
        <v>0.85450121406679802</v>
      </c>
      <c r="I120" s="111" t="s">
        <v>314</v>
      </c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115"/>
      <c r="CQ120" s="65"/>
      <c r="CR120" s="101" t="s">
        <v>573</v>
      </c>
    </row>
    <row r="121" spans="1:9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39"/>
    </row>
    <row r="122" spans="1:96" x14ac:dyDescent="0.25">
      <c r="A122" s="39"/>
      <c r="B122" s="39"/>
      <c r="C122" s="96" t="s">
        <v>697</v>
      </c>
      <c r="D122" s="96"/>
      <c r="E122" s="96"/>
      <c r="F122" s="96"/>
      <c r="G122" s="96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6"/>
    </row>
    <row r="123" spans="1:96" x14ac:dyDescent="0.25">
      <c r="A123" s="39"/>
      <c r="B123" s="39"/>
      <c r="C123" s="95"/>
      <c r="D123" s="95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39"/>
    </row>
    <row r="124" spans="1:96" x14ac:dyDescent="0.25">
      <c r="A124" s="101"/>
      <c r="B124" s="39"/>
      <c r="C124" s="39"/>
      <c r="D124" s="39"/>
      <c r="E124" s="101" t="s">
        <v>236</v>
      </c>
      <c r="F124" s="39"/>
      <c r="G124" s="101" t="str">
        <f>G114</f>
        <v>£</v>
      </c>
      <c r="H124" s="110">
        <f>H105 * H120</f>
        <v>5392.7144041330375</v>
      </c>
      <c r="I124" s="123" t="s">
        <v>314</v>
      </c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65"/>
      <c r="CR124" s="101" t="s">
        <v>573</v>
      </c>
    </row>
    <row r="125" spans="1:96" x14ac:dyDescent="0.25">
      <c r="A125" s="39"/>
      <c r="B125" s="39"/>
      <c r="C125" s="39"/>
      <c r="D125" s="39"/>
      <c r="E125" s="95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39"/>
    </row>
    <row r="126" spans="1:96" x14ac:dyDescent="0.25">
      <c r="A126" s="101"/>
      <c r="B126" s="39"/>
      <c r="C126" s="39"/>
      <c r="D126" s="95"/>
      <c r="E126" s="98" t="s">
        <v>362</v>
      </c>
      <c r="F126" s="39"/>
      <c r="G126" s="39"/>
      <c r="H126" s="65"/>
      <c r="I126" s="112" t="s">
        <v>314</v>
      </c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101" t="s">
        <v>569</v>
      </c>
    </row>
    <row r="127" spans="1:96" x14ac:dyDescent="0.25">
      <c r="A127" s="39"/>
      <c r="B127" s="39"/>
      <c r="C127" s="39"/>
      <c r="D127" s="39"/>
      <c r="E127" s="39"/>
      <c r="F127" s="99" t="s">
        <v>193</v>
      </c>
      <c r="G127" s="99" t="str">
        <f t="shared" ref="G127:G133" si="14">G$24</f>
        <v>£m</v>
      </c>
      <c r="H127" s="125">
        <f>H52</f>
        <v>3904.524236464154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65"/>
      <c r="CR127" s="39"/>
    </row>
    <row r="128" spans="1:96" x14ac:dyDescent="0.25">
      <c r="A128" s="39"/>
      <c r="B128" s="39"/>
      <c r="C128" s="39"/>
      <c r="D128" s="39"/>
      <c r="E128" s="39"/>
      <c r="F128" s="101" t="s">
        <v>194</v>
      </c>
      <c r="G128" s="101" t="str">
        <f t="shared" si="14"/>
        <v>£m</v>
      </c>
      <c r="H128" s="110">
        <f>H53</f>
        <v>3736.0224253502133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65"/>
      <c r="CR128" s="39"/>
    </row>
    <row r="129" spans="1:96" x14ac:dyDescent="0.25">
      <c r="A129" s="39"/>
      <c r="B129" s="39"/>
      <c r="C129" s="39"/>
      <c r="D129" s="39"/>
      <c r="E129" s="39"/>
      <c r="F129" s="101" t="s">
        <v>41</v>
      </c>
      <c r="G129" s="101" t="str">
        <f t="shared" si="14"/>
        <v>£m</v>
      </c>
      <c r="H129" s="110">
        <f>H54</f>
        <v>591.80799240345823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65"/>
      <c r="CR129" s="39"/>
    </row>
    <row r="130" spans="1:96" x14ac:dyDescent="0.25">
      <c r="A130" s="39"/>
      <c r="B130" s="39"/>
      <c r="C130" s="39"/>
      <c r="D130" s="39"/>
      <c r="E130" s="39"/>
      <c r="F130" s="101" t="s">
        <v>40</v>
      </c>
      <c r="G130" s="101" t="str">
        <f t="shared" si="14"/>
        <v>£m</v>
      </c>
      <c r="H130" s="110">
        <f>H55</f>
        <v>2201.7669582331696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65"/>
      <c r="CR130" s="39"/>
    </row>
    <row r="131" spans="1:96" x14ac:dyDescent="0.25">
      <c r="A131" s="101"/>
      <c r="B131" s="39"/>
      <c r="C131" s="39"/>
      <c r="D131" s="39"/>
      <c r="E131" s="39"/>
      <c r="F131" s="103" t="s">
        <v>166</v>
      </c>
      <c r="G131" s="103" t="str">
        <f t="shared" si="14"/>
        <v>£m</v>
      </c>
      <c r="H131" s="138">
        <f>H124</f>
        <v>5392.7144041330375</v>
      </c>
      <c r="I131" s="123" t="s">
        <v>314</v>
      </c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65"/>
      <c r="CR131" s="101" t="s">
        <v>573</v>
      </c>
    </row>
    <row r="132" spans="1:96" x14ac:dyDescent="0.25">
      <c r="A132" s="39"/>
      <c r="B132" s="39"/>
      <c r="C132" s="39"/>
      <c r="D132" s="39"/>
      <c r="E132" s="39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39"/>
    </row>
    <row r="133" spans="1:96" x14ac:dyDescent="0.25">
      <c r="A133" s="101"/>
      <c r="B133" s="39"/>
      <c r="C133" s="39"/>
      <c r="D133" s="39"/>
      <c r="E133" s="101" t="s">
        <v>238</v>
      </c>
      <c r="F133" s="39"/>
      <c r="G133" s="101" t="str">
        <f t="shared" si="14"/>
        <v>£m</v>
      </c>
      <c r="H133" s="110">
        <f>SUM(H127:H131)</f>
        <v>15826.836016584033</v>
      </c>
      <c r="I133" s="123" t="s">
        <v>314</v>
      </c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65"/>
      <c r="CR133" s="101" t="s">
        <v>569</v>
      </c>
    </row>
    <row r="134" spans="1:96" x14ac:dyDescent="0.25">
      <c r="A134" s="39"/>
      <c r="B134" s="39"/>
      <c r="C134" s="39"/>
      <c r="D134" s="39"/>
      <c r="E134" s="101" t="s">
        <v>518</v>
      </c>
      <c r="F134" s="39"/>
      <c r="G134" s="101" t="s">
        <v>470</v>
      </c>
      <c r="H134" s="110" t="b">
        <f>H133 &gt; 0</f>
        <v>1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65"/>
      <c r="CR134" s="39"/>
    </row>
    <row r="135" spans="1:96" x14ac:dyDescent="0.25">
      <c r="A135" s="39"/>
      <c r="B135" s="39"/>
      <c r="C135" s="39"/>
      <c r="D135" s="39"/>
      <c r="E135" s="95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39"/>
    </row>
    <row r="136" spans="1:96" x14ac:dyDescent="0.25">
      <c r="A136" s="101"/>
      <c r="B136" s="39"/>
      <c r="C136" s="39"/>
      <c r="D136" s="39"/>
      <c r="E136" s="98" t="s">
        <v>363</v>
      </c>
      <c r="F136" s="39"/>
      <c r="G136" s="39"/>
      <c r="H136" s="65"/>
      <c r="I136" s="112" t="s">
        <v>314</v>
      </c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101" t="s">
        <v>569</v>
      </c>
    </row>
    <row r="137" spans="1:96" x14ac:dyDescent="0.25">
      <c r="A137" s="39"/>
      <c r="B137" s="39"/>
      <c r="C137" s="39"/>
      <c r="D137" s="39"/>
      <c r="E137" s="39"/>
      <c r="F137" s="99" t="s">
        <v>193</v>
      </c>
      <c r="G137" s="99" t="s">
        <v>44</v>
      </c>
      <c r="H137" s="133">
        <f>IF(H$134, H127 / H$133, 0)</f>
        <v>0.24670276689370049</v>
      </c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5"/>
      <c r="CO137" s="115"/>
      <c r="CP137" s="115"/>
      <c r="CQ137" s="65"/>
      <c r="CR137" s="39"/>
    </row>
    <row r="138" spans="1:96" x14ac:dyDescent="0.25">
      <c r="A138" s="39"/>
      <c r="B138" s="39"/>
      <c r="C138" s="39"/>
      <c r="D138" s="39"/>
      <c r="E138" s="39"/>
      <c r="F138" s="101" t="s">
        <v>194</v>
      </c>
      <c r="G138" s="101" t="s">
        <v>44</v>
      </c>
      <c r="H138" s="134">
        <f>IF(H$134, H128 / H$133, 0)</f>
        <v>0.23605617834388692</v>
      </c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  <c r="CD138" s="115"/>
      <c r="CE138" s="115"/>
      <c r="CF138" s="115"/>
      <c r="CG138" s="115"/>
      <c r="CH138" s="115"/>
      <c r="CI138" s="115"/>
      <c r="CJ138" s="115"/>
      <c r="CK138" s="115"/>
      <c r="CL138" s="115"/>
      <c r="CM138" s="115"/>
      <c r="CN138" s="115"/>
      <c r="CO138" s="115"/>
      <c r="CP138" s="115"/>
      <c r="CQ138" s="65"/>
      <c r="CR138" s="39"/>
    </row>
    <row r="139" spans="1:96" x14ac:dyDescent="0.25">
      <c r="A139" s="39"/>
      <c r="B139" s="39"/>
      <c r="C139" s="39"/>
      <c r="D139" s="39"/>
      <c r="E139" s="39"/>
      <c r="F139" s="101" t="s">
        <v>41</v>
      </c>
      <c r="G139" s="101" t="s">
        <v>44</v>
      </c>
      <c r="H139" s="134">
        <f>IF(H$134, H129 / H$133, 0)</f>
        <v>3.7392691235527846E-2</v>
      </c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  <c r="CD139" s="115"/>
      <c r="CE139" s="115"/>
      <c r="CF139" s="115"/>
      <c r="CG139" s="115"/>
      <c r="CH139" s="115"/>
      <c r="CI139" s="115"/>
      <c r="CJ139" s="115"/>
      <c r="CK139" s="115"/>
      <c r="CL139" s="115"/>
      <c r="CM139" s="115"/>
      <c r="CN139" s="115"/>
      <c r="CO139" s="115"/>
      <c r="CP139" s="115"/>
      <c r="CQ139" s="65"/>
      <c r="CR139" s="39"/>
    </row>
    <row r="140" spans="1:96" x14ac:dyDescent="0.25">
      <c r="A140" s="39"/>
      <c r="B140" s="39"/>
      <c r="C140" s="39"/>
      <c r="D140" s="39"/>
      <c r="E140" s="39"/>
      <c r="F140" s="101" t="s">
        <v>40</v>
      </c>
      <c r="G140" s="101" t="s">
        <v>44</v>
      </c>
      <c r="H140" s="134">
        <f>IF(H$134, H130 / H$133, 0)</f>
        <v>0.13911605300807214</v>
      </c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  <c r="CD140" s="115"/>
      <c r="CE140" s="115"/>
      <c r="CF140" s="115"/>
      <c r="CG140" s="115"/>
      <c r="CH140" s="115"/>
      <c r="CI140" s="115"/>
      <c r="CJ140" s="115"/>
      <c r="CK140" s="115"/>
      <c r="CL140" s="115"/>
      <c r="CM140" s="115"/>
      <c r="CN140" s="115"/>
      <c r="CO140" s="115"/>
      <c r="CP140" s="115"/>
      <c r="CQ140" s="65"/>
      <c r="CR140" s="39"/>
    </row>
    <row r="141" spans="1:96" x14ac:dyDescent="0.25">
      <c r="A141" s="39"/>
      <c r="B141" s="39"/>
      <c r="C141" s="39"/>
      <c r="D141" s="39"/>
      <c r="E141" s="39"/>
      <c r="F141" s="103" t="s">
        <v>166</v>
      </c>
      <c r="G141" s="103" t="s">
        <v>44</v>
      </c>
      <c r="H141" s="135">
        <f>IF(H$134, H131 / H$133, 0)</f>
        <v>0.34073231051881259</v>
      </c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65"/>
      <c r="CR141" s="39"/>
    </row>
    <row r="142" spans="1:96" x14ac:dyDescent="0.25">
      <c r="A142" s="39"/>
      <c r="B142" s="39"/>
      <c r="C142" s="39"/>
      <c r="D142" s="39"/>
      <c r="E142" s="39"/>
      <c r="F142" s="39"/>
      <c r="G142" s="39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39"/>
    </row>
    <row r="143" spans="1:96" x14ac:dyDescent="0.25">
      <c r="A143" s="39"/>
      <c r="B143" s="39"/>
      <c r="C143" s="39"/>
      <c r="D143" s="39"/>
      <c r="E143" s="101" t="s">
        <v>239</v>
      </c>
      <c r="F143" s="39"/>
      <c r="G143" s="101" t="s">
        <v>231</v>
      </c>
      <c r="H143" s="116">
        <f>IF(SUM(H137:H141) = 1, 0, 1)</f>
        <v>0</v>
      </c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65"/>
      <c r="CR143" s="39"/>
    </row>
    <row r="144" spans="1:96" x14ac:dyDescent="0.25">
      <c r="A144" s="39"/>
      <c r="B144" s="39"/>
      <c r="C144" s="39"/>
      <c r="D144" s="39"/>
      <c r="E144" s="95"/>
      <c r="F144" s="39"/>
      <c r="G144" s="39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39"/>
    </row>
    <row r="145" spans="1:96" x14ac:dyDescent="0.25">
      <c r="A145" s="39"/>
      <c r="B145" s="93" t="s">
        <v>242</v>
      </c>
      <c r="C145" s="93"/>
      <c r="D145" s="93"/>
      <c r="E145" s="93"/>
      <c r="F145" s="93"/>
      <c r="G145" s="93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3"/>
    </row>
    <row r="146" spans="1:9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39"/>
    </row>
    <row r="147" spans="1:96" x14ac:dyDescent="0.25">
      <c r="A147" s="39"/>
      <c r="B147" s="39"/>
      <c r="C147" s="95"/>
      <c r="D147" s="95"/>
      <c r="E147" s="101" t="s">
        <v>232</v>
      </c>
      <c r="F147" s="39"/>
      <c r="G147" s="101" t="s">
        <v>231</v>
      </c>
      <c r="H147" s="139">
        <f>H39 + H63 + H72 + H78 + H97 + H143</f>
        <v>0</v>
      </c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65"/>
      <c r="CR147" s="39"/>
    </row>
    <row r="148" spans="1:96" x14ac:dyDescent="0.25">
      <c r="A148" s="39"/>
      <c r="B148" s="39"/>
      <c r="C148" s="39"/>
      <c r="D148" s="39"/>
      <c r="E148" s="95"/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39"/>
    </row>
    <row r="149" spans="1:96" x14ac:dyDescent="0.25">
      <c r="A149" s="39"/>
      <c r="B149" s="93" t="s">
        <v>30</v>
      </c>
      <c r="C149" s="93"/>
      <c r="D149" s="93"/>
      <c r="E149" s="93"/>
      <c r="F149" s="93"/>
      <c r="G149" s="93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3"/>
    </row>
  </sheetData>
  <sheetProtection sheet="1" objects="1" formatCells="0" formatColumns="0" formatRows="0" sort="0" autoFilter="0"/>
  <conditionalFormatting sqref="H38">
    <cfRule type="cellIs" dxfId="44" priority="2" stopIfTrue="1" operator="greaterThan">
      <formula>0</formula>
    </cfRule>
  </conditionalFormatting>
  <conditionalFormatting sqref="H39">
    <cfRule type="cellIs" dxfId="43" priority="3" stopIfTrue="1" operator="greaterThan">
      <formula>0</formula>
    </cfRule>
  </conditionalFormatting>
  <conditionalFormatting sqref="H63">
    <cfRule type="cellIs" dxfId="42" priority="4" stopIfTrue="1" operator="greaterThan">
      <formula>0</formula>
    </cfRule>
  </conditionalFormatting>
  <conditionalFormatting sqref="H72">
    <cfRule type="cellIs" dxfId="41" priority="5" stopIfTrue="1" operator="greaterThan">
      <formula>0</formula>
    </cfRule>
  </conditionalFormatting>
  <conditionalFormatting sqref="H78">
    <cfRule type="cellIs" dxfId="40" priority="6" stopIfTrue="1" operator="greaterThan">
      <formula>0</formula>
    </cfRule>
  </conditionalFormatting>
  <conditionalFormatting sqref="H97">
    <cfRule type="cellIs" dxfId="39" priority="7" stopIfTrue="1" operator="greaterThan">
      <formula>0</formula>
    </cfRule>
  </conditionalFormatting>
  <conditionalFormatting sqref="H143">
    <cfRule type="cellIs" dxfId="38" priority="8" stopIfTrue="1" operator="greaterThan">
      <formula>0</formula>
    </cfRule>
  </conditionalFormatting>
  <conditionalFormatting sqref="H147">
    <cfRule type="cellIs" dxfId="37" priority="9" stopIfTrue="1" operator="greaterThan">
      <formula>0</formula>
    </cfRule>
  </conditionalFormatting>
  <conditionalFormatting sqref="A4:XFD4">
    <cfRule type="expression" dxfId="3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AN84" activePane="bottomRight" state="frozenSplit"/>
      <selection pane="topRight"/>
      <selection pane="bottomLeft"/>
      <selection pane="bottomRight" activeCell="H113" sqref="H11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Expenditure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H159 &amp; IF(H159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364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716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  <c r="AU10" s="65"/>
    </row>
    <row r="11" spans="1:4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</row>
    <row r="12" spans="1:47" x14ac:dyDescent="0.25">
      <c r="A12" s="39"/>
      <c r="B12" s="93" t="s">
        <v>244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3"/>
    </row>
    <row r="13" spans="1:4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39"/>
    </row>
    <row r="14" spans="1:47" x14ac:dyDescent="0.25">
      <c r="A14" s="39"/>
      <c r="B14" s="39"/>
      <c r="C14" s="95" t="s">
        <v>365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6" t="s">
        <v>700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6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39"/>
      <c r="D18" s="39"/>
      <c r="E18" s="98" t="s">
        <v>421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39"/>
    </row>
    <row r="19" spans="1:46" x14ac:dyDescent="0.25">
      <c r="A19" s="39"/>
      <c r="B19" s="39"/>
      <c r="C19" s="39"/>
      <c r="D19" s="39"/>
      <c r="E19" s="39"/>
      <c r="F19" s="99" t="str">
        <f>'DNO inputs'!J304</f>
        <v>LV</v>
      </c>
      <c r="G19" s="99" t="str">
        <f>'DNO inputs'!G305</f>
        <v>£ per year</v>
      </c>
      <c r="H19" s="125"/>
      <c r="I19" s="125"/>
      <c r="J19" s="113"/>
      <c r="K19" s="136">
        <f t="array" ref="K19:AR22">TRANSPOSE('DNO inputs'!J306:M339)</f>
        <v>15964378.159526384</v>
      </c>
      <c r="L19" s="136">
        <v>0</v>
      </c>
      <c r="M19" s="136">
        <v>15272426.893891403</v>
      </c>
      <c r="N19" s="136">
        <v>1544112.575676091</v>
      </c>
      <c r="O19" s="136">
        <v>3100832.1843072716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6">
        <v>0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0</v>
      </c>
      <c r="AS19" s="65"/>
      <c r="AT19" s="39"/>
    </row>
    <row r="20" spans="1:46" x14ac:dyDescent="0.25">
      <c r="A20" s="39"/>
      <c r="B20" s="39"/>
      <c r="C20" s="39"/>
      <c r="D20" s="39"/>
      <c r="E20" s="39"/>
      <c r="F20" s="101" t="str">
        <f>'DNO inputs'!K304</f>
        <v>HV/LV</v>
      </c>
      <c r="G20" s="101" t="str">
        <f>G$19</f>
        <v>£ per year</v>
      </c>
      <c r="H20" s="110"/>
      <c r="I20" s="110"/>
      <c r="J20" s="140"/>
      <c r="K20" s="132">
        <v>6928378.2203391073</v>
      </c>
      <c r="L20" s="132">
        <v>0</v>
      </c>
      <c r="M20" s="132">
        <v>582344.66945385642</v>
      </c>
      <c r="N20" s="132">
        <v>5284050.4964611931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65"/>
      <c r="AT20" s="39"/>
    </row>
    <row r="21" spans="1:46" x14ac:dyDescent="0.25">
      <c r="A21" s="39"/>
      <c r="B21" s="39"/>
      <c r="C21" s="39"/>
      <c r="D21" s="39"/>
      <c r="E21" s="39"/>
      <c r="F21" s="101" t="str">
        <f>'DNO inputs'!L304</f>
        <v>HV</v>
      </c>
      <c r="G21" s="101" t="str">
        <f>G$19</f>
        <v>£ per year</v>
      </c>
      <c r="H21" s="110"/>
      <c r="I21" s="110"/>
      <c r="J21" s="140"/>
      <c r="K21" s="132">
        <v>25847964.55954431</v>
      </c>
      <c r="L21" s="132">
        <v>0</v>
      </c>
      <c r="M21" s="132">
        <v>5279170.858943522</v>
      </c>
      <c r="N21" s="132">
        <v>436263.57364726916</v>
      </c>
      <c r="O21" s="132">
        <v>5282047.5418532779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0</v>
      </c>
      <c r="AN21" s="132">
        <v>0</v>
      </c>
      <c r="AO21" s="132">
        <v>0</v>
      </c>
      <c r="AP21" s="132">
        <v>0</v>
      </c>
      <c r="AQ21" s="132">
        <v>0</v>
      </c>
      <c r="AR21" s="132"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3" t="str">
        <f>'DNO inputs'!M304</f>
        <v>EHV and 132kV</v>
      </c>
      <c r="G22" s="103" t="str">
        <f>G$19</f>
        <v>£ per year</v>
      </c>
      <c r="H22" s="126"/>
      <c r="I22" s="127"/>
      <c r="J22" s="141"/>
      <c r="K22" s="142">
        <v>33944558.974318989</v>
      </c>
      <c r="L22" s="142">
        <v>0</v>
      </c>
      <c r="M22" s="142">
        <v>2714932.7240017327</v>
      </c>
      <c r="N22" s="142">
        <v>2704219.8642422459</v>
      </c>
      <c r="O22" s="142">
        <v>541261.35383944947</v>
      </c>
      <c r="P22" s="142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2">
        <v>0</v>
      </c>
      <c r="W22" s="142">
        <v>0</v>
      </c>
      <c r="X22" s="142">
        <v>0</v>
      </c>
      <c r="Y22" s="142">
        <v>0</v>
      </c>
      <c r="Z22" s="142">
        <v>0</v>
      </c>
      <c r="AA22" s="142">
        <v>0</v>
      </c>
      <c r="AB22" s="142">
        <v>0</v>
      </c>
      <c r="AC22" s="142">
        <v>0</v>
      </c>
      <c r="AD22" s="142">
        <v>0</v>
      </c>
      <c r="AE22" s="142">
        <v>0</v>
      </c>
      <c r="AF22" s="142">
        <v>0</v>
      </c>
      <c r="AG22" s="142">
        <v>0</v>
      </c>
      <c r="AH22" s="142">
        <v>0</v>
      </c>
      <c r="AI22" s="142">
        <v>0</v>
      </c>
      <c r="AJ22" s="142">
        <v>0</v>
      </c>
      <c r="AK22" s="142">
        <v>0</v>
      </c>
      <c r="AL22" s="142">
        <v>0</v>
      </c>
      <c r="AM22" s="142">
        <v>0</v>
      </c>
      <c r="AN22" s="142">
        <v>0</v>
      </c>
      <c r="AO22" s="142">
        <v>0</v>
      </c>
      <c r="AP22" s="142">
        <v>0</v>
      </c>
      <c r="AQ22" s="142">
        <v>0</v>
      </c>
      <c r="AR22" s="142"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39"/>
    </row>
    <row r="24" spans="1:46" x14ac:dyDescent="0.25">
      <c r="A24" s="39"/>
      <c r="B24" s="39"/>
      <c r="C24" s="39"/>
      <c r="D24" s="39"/>
      <c r="E24" s="98" t="s">
        <v>420</v>
      </c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39"/>
    </row>
    <row r="25" spans="1:46" x14ac:dyDescent="0.25">
      <c r="A25" s="39"/>
      <c r="B25" s="39"/>
      <c r="C25" s="39"/>
      <c r="D25" s="39"/>
      <c r="E25" s="39"/>
      <c r="F25" s="99" t="str">
        <f>'DNO inputs'!F347</f>
        <v>LV</v>
      </c>
      <c r="G25" s="99" t="str">
        <f>'DNO inputs'!G347</f>
        <v>£ per year</v>
      </c>
      <c r="H25" s="125"/>
      <c r="I25" s="125"/>
      <c r="J25" s="136">
        <f>'DNO inputs'!H347</f>
        <v>3833598.9292598576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65"/>
      <c r="AT25" s="39"/>
    </row>
    <row r="26" spans="1:46" x14ac:dyDescent="0.25">
      <c r="A26" s="39"/>
      <c r="B26" s="39"/>
      <c r="C26" s="39"/>
      <c r="D26" s="39"/>
      <c r="E26" s="39"/>
      <c r="F26" s="101" t="str">
        <f>'DNO inputs'!F348</f>
        <v>HV/LV</v>
      </c>
      <c r="G26" s="101" t="str">
        <f>'DNO inputs'!G348</f>
        <v>£ per year</v>
      </c>
      <c r="H26" s="110"/>
      <c r="I26" s="110"/>
      <c r="J26" s="132">
        <f>'DNO inputs'!H348</f>
        <v>0</v>
      </c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65"/>
      <c r="AT26" s="39"/>
    </row>
    <row r="27" spans="1:46" x14ac:dyDescent="0.25">
      <c r="A27" s="39"/>
      <c r="B27" s="39"/>
      <c r="C27" s="39"/>
      <c r="D27" s="39"/>
      <c r="E27" s="39"/>
      <c r="F27" s="101" t="str">
        <f>'DNO inputs'!F349</f>
        <v>HV</v>
      </c>
      <c r="G27" s="101" t="str">
        <f>'DNO inputs'!G349</f>
        <v>£ per year</v>
      </c>
      <c r="H27" s="110"/>
      <c r="I27" s="110"/>
      <c r="J27" s="132">
        <f>'DNO inputs'!H349</f>
        <v>5609437.7182151098</v>
      </c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65"/>
      <c r="AT27" s="39"/>
    </row>
    <row r="28" spans="1:46" x14ac:dyDescent="0.25">
      <c r="A28" s="39"/>
      <c r="B28" s="39"/>
      <c r="C28" s="39"/>
      <c r="D28" s="39"/>
      <c r="E28" s="39"/>
      <c r="F28" s="103" t="str">
        <f>'DNO inputs'!F350</f>
        <v>EHV and 132kV</v>
      </c>
      <c r="G28" s="103" t="str">
        <f>'DNO inputs'!G350</f>
        <v>£ per year</v>
      </c>
      <c r="H28" s="126"/>
      <c r="I28" s="127"/>
      <c r="J28" s="142">
        <f>'DNO inputs'!H350</f>
        <v>10180000</v>
      </c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65"/>
      <c r="AT28" s="39"/>
    </row>
    <row r="29" spans="1:46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39"/>
    </row>
    <row r="30" spans="1:46" x14ac:dyDescent="0.25">
      <c r="A30" s="107"/>
      <c r="B30" s="39"/>
      <c r="C30" s="39"/>
      <c r="D30" s="39"/>
      <c r="E30" s="98" t="s">
        <v>245</v>
      </c>
      <c r="F30" s="39"/>
      <c r="G30" s="39"/>
      <c r="H30" s="65"/>
      <c r="I30" s="112" t="s">
        <v>314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101" t="s">
        <v>592</v>
      </c>
    </row>
    <row r="31" spans="1:46" x14ac:dyDescent="0.25">
      <c r="A31" s="39"/>
      <c r="B31" s="39"/>
      <c r="C31" s="39"/>
      <c r="D31" s="39"/>
      <c r="E31" s="39"/>
      <c r="F31" s="99" t="s">
        <v>165</v>
      </c>
      <c r="G31" s="99" t="str">
        <f>G$19</f>
        <v>£ per year</v>
      </c>
      <c r="H31" s="125"/>
      <c r="I31" s="125"/>
      <c r="J31" s="143">
        <f t="shared" ref="J31:AQ31" si="0">J19 + J25</f>
        <v>3833598.9292598576</v>
      </c>
      <c r="K31" s="143">
        <f t="shared" si="0"/>
        <v>15964378.159526384</v>
      </c>
      <c r="L31" s="143">
        <f t="shared" si="0"/>
        <v>0</v>
      </c>
      <c r="M31" s="143">
        <f t="shared" si="0"/>
        <v>15272426.893891403</v>
      </c>
      <c r="N31" s="143">
        <f t="shared" si="0"/>
        <v>1544112.575676091</v>
      </c>
      <c r="O31" s="143">
        <f t="shared" si="0"/>
        <v>3100832.1843072716</v>
      </c>
      <c r="P31" s="143">
        <f t="shared" si="0"/>
        <v>0</v>
      </c>
      <c r="Q31" s="143">
        <f t="shared" si="0"/>
        <v>0</v>
      </c>
      <c r="R31" s="143">
        <f t="shared" si="0"/>
        <v>0</v>
      </c>
      <c r="S31" s="143">
        <f t="shared" si="0"/>
        <v>0</v>
      </c>
      <c r="T31" s="143">
        <f t="shared" si="0"/>
        <v>0</v>
      </c>
      <c r="U31" s="143">
        <f t="shared" si="0"/>
        <v>0</v>
      </c>
      <c r="V31" s="143">
        <f t="shared" si="0"/>
        <v>0</v>
      </c>
      <c r="W31" s="143">
        <f t="shared" si="0"/>
        <v>0</v>
      </c>
      <c r="X31" s="143">
        <f t="shared" si="0"/>
        <v>0</v>
      </c>
      <c r="Y31" s="143">
        <f t="shared" si="0"/>
        <v>0</v>
      </c>
      <c r="Z31" s="143">
        <f t="shared" si="0"/>
        <v>0</v>
      </c>
      <c r="AA31" s="143">
        <f t="shared" si="0"/>
        <v>0</v>
      </c>
      <c r="AB31" s="143">
        <f t="shared" si="0"/>
        <v>0</v>
      </c>
      <c r="AC31" s="143">
        <f t="shared" si="0"/>
        <v>0</v>
      </c>
      <c r="AD31" s="143">
        <f t="shared" si="0"/>
        <v>0</v>
      </c>
      <c r="AE31" s="143">
        <f t="shared" si="0"/>
        <v>0</v>
      </c>
      <c r="AF31" s="143">
        <f t="shared" si="0"/>
        <v>0</v>
      </c>
      <c r="AG31" s="143">
        <f t="shared" si="0"/>
        <v>0</v>
      </c>
      <c r="AH31" s="143">
        <f t="shared" si="0"/>
        <v>0</v>
      </c>
      <c r="AI31" s="143">
        <f t="shared" si="0"/>
        <v>0</v>
      </c>
      <c r="AJ31" s="143">
        <f t="shared" si="0"/>
        <v>0</v>
      </c>
      <c r="AK31" s="143">
        <f t="shared" si="0"/>
        <v>0</v>
      </c>
      <c r="AL31" s="143">
        <f t="shared" si="0"/>
        <v>0</v>
      </c>
      <c r="AM31" s="143">
        <f t="shared" si="0"/>
        <v>0</v>
      </c>
      <c r="AN31" s="143">
        <f t="shared" si="0"/>
        <v>0</v>
      </c>
      <c r="AO31" s="143">
        <f t="shared" si="0"/>
        <v>0</v>
      </c>
      <c r="AP31" s="143">
        <f t="shared" ref="AP31" si="1">AP19 + AP25</f>
        <v>0</v>
      </c>
      <c r="AQ31" s="143">
        <f t="shared" si="0"/>
        <v>0</v>
      </c>
      <c r="AR31" s="143">
        <f t="shared" ref="AR31" si="2">AR19 + AR25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1" t="s">
        <v>41</v>
      </c>
      <c r="G32" s="101" t="str">
        <f>G$19</f>
        <v>£ per year</v>
      </c>
      <c r="H32" s="110"/>
      <c r="I32" s="110"/>
      <c r="J32" s="144">
        <f t="shared" ref="J32:AQ32" si="3">J20 + J26</f>
        <v>0</v>
      </c>
      <c r="K32" s="144">
        <f t="shared" si="3"/>
        <v>6928378.2203391073</v>
      </c>
      <c r="L32" s="144">
        <f t="shared" si="3"/>
        <v>0</v>
      </c>
      <c r="M32" s="144">
        <f t="shared" si="3"/>
        <v>582344.66945385642</v>
      </c>
      <c r="N32" s="144">
        <f t="shared" si="3"/>
        <v>5284050.4964611931</v>
      </c>
      <c r="O32" s="144">
        <f t="shared" si="3"/>
        <v>0</v>
      </c>
      <c r="P32" s="144">
        <f t="shared" si="3"/>
        <v>0</v>
      </c>
      <c r="Q32" s="144">
        <f t="shared" si="3"/>
        <v>0</v>
      </c>
      <c r="R32" s="144">
        <f t="shared" si="3"/>
        <v>0</v>
      </c>
      <c r="S32" s="144">
        <f t="shared" si="3"/>
        <v>0</v>
      </c>
      <c r="T32" s="144">
        <f t="shared" si="3"/>
        <v>0</v>
      </c>
      <c r="U32" s="144">
        <f t="shared" si="3"/>
        <v>0</v>
      </c>
      <c r="V32" s="144">
        <f t="shared" si="3"/>
        <v>0</v>
      </c>
      <c r="W32" s="144">
        <f t="shared" si="3"/>
        <v>0</v>
      </c>
      <c r="X32" s="144">
        <f t="shared" si="3"/>
        <v>0</v>
      </c>
      <c r="Y32" s="144">
        <f t="shared" si="3"/>
        <v>0</v>
      </c>
      <c r="Z32" s="144">
        <f t="shared" si="3"/>
        <v>0</v>
      </c>
      <c r="AA32" s="144">
        <f t="shared" si="3"/>
        <v>0</v>
      </c>
      <c r="AB32" s="144">
        <f t="shared" si="3"/>
        <v>0</v>
      </c>
      <c r="AC32" s="144">
        <f t="shared" si="3"/>
        <v>0</v>
      </c>
      <c r="AD32" s="144">
        <f t="shared" si="3"/>
        <v>0</v>
      </c>
      <c r="AE32" s="144">
        <f t="shared" si="3"/>
        <v>0</v>
      </c>
      <c r="AF32" s="144">
        <f t="shared" si="3"/>
        <v>0</v>
      </c>
      <c r="AG32" s="144">
        <f t="shared" si="3"/>
        <v>0</v>
      </c>
      <c r="AH32" s="144">
        <f t="shared" si="3"/>
        <v>0</v>
      </c>
      <c r="AI32" s="144">
        <f t="shared" si="3"/>
        <v>0</v>
      </c>
      <c r="AJ32" s="144">
        <f t="shared" si="3"/>
        <v>0</v>
      </c>
      <c r="AK32" s="144">
        <f t="shared" si="3"/>
        <v>0</v>
      </c>
      <c r="AL32" s="144">
        <f t="shared" si="3"/>
        <v>0</v>
      </c>
      <c r="AM32" s="144">
        <f t="shared" si="3"/>
        <v>0</v>
      </c>
      <c r="AN32" s="144">
        <f t="shared" si="3"/>
        <v>0</v>
      </c>
      <c r="AO32" s="144">
        <f t="shared" si="3"/>
        <v>0</v>
      </c>
      <c r="AP32" s="144">
        <f t="shared" ref="AP32" si="4">AP20 + AP26</f>
        <v>0</v>
      </c>
      <c r="AQ32" s="144">
        <f t="shared" si="3"/>
        <v>0</v>
      </c>
      <c r="AR32" s="144">
        <f t="shared" ref="AR32" si="5">AR20 + AR26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101" t="s">
        <v>40</v>
      </c>
      <c r="G33" s="101" t="str">
        <f>G$19</f>
        <v>£ per year</v>
      </c>
      <c r="H33" s="110"/>
      <c r="I33" s="110"/>
      <c r="J33" s="144">
        <f t="shared" ref="J33:AQ33" si="6">J21 + J27</f>
        <v>5609437.7182151098</v>
      </c>
      <c r="K33" s="144">
        <f t="shared" si="6"/>
        <v>25847964.55954431</v>
      </c>
      <c r="L33" s="144">
        <f t="shared" si="6"/>
        <v>0</v>
      </c>
      <c r="M33" s="144">
        <f t="shared" si="6"/>
        <v>5279170.858943522</v>
      </c>
      <c r="N33" s="144">
        <f t="shared" si="6"/>
        <v>436263.57364726916</v>
      </c>
      <c r="O33" s="144">
        <f t="shared" si="6"/>
        <v>5282047.5418532779</v>
      </c>
      <c r="P33" s="144">
        <f t="shared" si="6"/>
        <v>0</v>
      </c>
      <c r="Q33" s="144">
        <f t="shared" si="6"/>
        <v>0</v>
      </c>
      <c r="R33" s="144">
        <f t="shared" si="6"/>
        <v>0</v>
      </c>
      <c r="S33" s="144">
        <f t="shared" si="6"/>
        <v>0</v>
      </c>
      <c r="T33" s="144">
        <f t="shared" si="6"/>
        <v>0</v>
      </c>
      <c r="U33" s="144">
        <f t="shared" si="6"/>
        <v>0</v>
      </c>
      <c r="V33" s="144">
        <f t="shared" si="6"/>
        <v>0</v>
      </c>
      <c r="W33" s="144">
        <f t="shared" si="6"/>
        <v>0</v>
      </c>
      <c r="X33" s="144">
        <f t="shared" si="6"/>
        <v>0</v>
      </c>
      <c r="Y33" s="144">
        <f t="shared" si="6"/>
        <v>0</v>
      </c>
      <c r="Z33" s="144">
        <f t="shared" si="6"/>
        <v>0</v>
      </c>
      <c r="AA33" s="144">
        <f t="shared" si="6"/>
        <v>0</v>
      </c>
      <c r="AB33" s="144">
        <f t="shared" si="6"/>
        <v>0</v>
      </c>
      <c r="AC33" s="144">
        <f t="shared" si="6"/>
        <v>0</v>
      </c>
      <c r="AD33" s="144">
        <f t="shared" si="6"/>
        <v>0</v>
      </c>
      <c r="AE33" s="144">
        <f t="shared" si="6"/>
        <v>0</v>
      </c>
      <c r="AF33" s="144">
        <f t="shared" si="6"/>
        <v>0</v>
      </c>
      <c r="AG33" s="144">
        <f t="shared" si="6"/>
        <v>0</v>
      </c>
      <c r="AH33" s="144">
        <f t="shared" si="6"/>
        <v>0</v>
      </c>
      <c r="AI33" s="144">
        <f t="shared" si="6"/>
        <v>0</v>
      </c>
      <c r="AJ33" s="144">
        <f t="shared" si="6"/>
        <v>0</v>
      </c>
      <c r="AK33" s="144">
        <f t="shared" si="6"/>
        <v>0</v>
      </c>
      <c r="AL33" s="144">
        <f t="shared" si="6"/>
        <v>0</v>
      </c>
      <c r="AM33" s="144">
        <f t="shared" si="6"/>
        <v>0</v>
      </c>
      <c r="AN33" s="144">
        <f t="shared" si="6"/>
        <v>0</v>
      </c>
      <c r="AO33" s="144">
        <f t="shared" si="6"/>
        <v>0</v>
      </c>
      <c r="AP33" s="144">
        <f t="shared" ref="AP33" si="7">AP21 + AP27</f>
        <v>0</v>
      </c>
      <c r="AQ33" s="144">
        <f t="shared" si="6"/>
        <v>0</v>
      </c>
      <c r="AR33" s="144">
        <f t="shared" ref="AR33" si="8">AR21 + AR27</f>
        <v>0</v>
      </c>
      <c r="AS33" s="65"/>
      <c r="AT33" s="39"/>
    </row>
    <row r="34" spans="1:46" x14ac:dyDescent="0.25">
      <c r="A34" s="39"/>
      <c r="B34" s="39"/>
      <c r="C34" s="39"/>
      <c r="D34" s="39"/>
      <c r="E34" s="39"/>
      <c r="F34" s="103" t="s">
        <v>166</v>
      </c>
      <c r="G34" s="103" t="str">
        <f>G$19</f>
        <v>£ per year</v>
      </c>
      <c r="H34" s="126"/>
      <c r="I34" s="127"/>
      <c r="J34" s="145">
        <f t="shared" ref="J34:AQ34" si="9">J22 + J28</f>
        <v>10180000</v>
      </c>
      <c r="K34" s="145">
        <f t="shared" si="9"/>
        <v>33944558.974318989</v>
      </c>
      <c r="L34" s="145">
        <f t="shared" si="9"/>
        <v>0</v>
      </c>
      <c r="M34" s="145">
        <f t="shared" si="9"/>
        <v>2714932.7240017327</v>
      </c>
      <c r="N34" s="145">
        <f t="shared" si="9"/>
        <v>2704219.8642422459</v>
      </c>
      <c r="O34" s="145">
        <f t="shared" si="9"/>
        <v>541261.35383944947</v>
      </c>
      <c r="P34" s="145">
        <f t="shared" si="9"/>
        <v>0</v>
      </c>
      <c r="Q34" s="145">
        <f t="shared" si="9"/>
        <v>0</v>
      </c>
      <c r="R34" s="145">
        <f t="shared" si="9"/>
        <v>0</v>
      </c>
      <c r="S34" s="145">
        <f t="shared" si="9"/>
        <v>0</v>
      </c>
      <c r="T34" s="145">
        <f t="shared" si="9"/>
        <v>0</v>
      </c>
      <c r="U34" s="145">
        <f t="shared" si="9"/>
        <v>0</v>
      </c>
      <c r="V34" s="145">
        <f t="shared" si="9"/>
        <v>0</v>
      </c>
      <c r="W34" s="145">
        <f t="shared" si="9"/>
        <v>0</v>
      </c>
      <c r="X34" s="145">
        <f t="shared" si="9"/>
        <v>0</v>
      </c>
      <c r="Y34" s="145">
        <f t="shared" si="9"/>
        <v>0</v>
      </c>
      <c r="Z34" s="145">
        <f t="shared" si="9"/>
        <v>0</v>
      </c>
      <c r="AA34" s="145">
        <f t="shared" si="9"/>
        <v>0</v>
      </c>
      <c r="AB34" s="145">
        <f t="shared" si="9"/>
        <v>0</v>
      </c>
      <c r="AC34" s="145">
        <f t="shared" si="9"/>
        <v>0</v>
      </c>
      <c r="AD34" s="145">
        <f t="shared" si="9"/>
        <v>0</v>
      </c>
      <c r="AE34" s="145">
        <f t="shared" si="9"/>
        <v>0</v>
      </c>
      <c r="AF34" s="145">
        <f t="shared" si="9"/>
        <v>0</v>
      </c>
      <c r="AG34" s="145">
        <f t="shared" si="9"/>
        <v>0</v>
      </c>
      <c r="AH34" s="145">
        <f t="shared" si="9"/>
        <v>0</v>
      </c>
      <c r="AI34" s="145">
        <f t="shared" si="9"/>
        <v>0</v>
      </c>
      <c r="AJ34" s="145">
        <f t="shared" si="9"/>
        <v>0</v>
      </c>
      <c r="AK34" s="145">
        <f t="shared" si="9"/>
        <v>0</v>
      </c>
      <c r="AL34" s="145">
        <f t="shared" si="9"/>
        <v>0</v>
      </c>
      <c r="AM34" s="145">
        <f t="shared" si="9"/>
        <v>0</v>
      </c>
      <c r="AN34" s="145">
        <f t="shared" si="9"/>
        <v>0</v>
      </c>
      <c r="AO34" s="145">
        <f t="shared" si="9"/>
        <v>0</v>
      </c>
      <c r="AP34" s="145">
        <f t="shared" ref="AP34" si="10">AP22 + AP28</f>
        <v>0</v>
      </c>
      <c r="AQ34" s="145">
        <f t="shared" si="9"/>
        <v>0</v>
      </c>
      <c r="AR34" s="145">
        <f t="shared" ref="AR34" si="11">AR22 + AR28</f>
        <v>0</v>
      </c>
      <c r="AS34" s="65"/>
      <c r="AT34" s="39"/>
    </row>
    <row r="35" spans="1:46" x14ac:dyDescent="0.25">
      <c r="A35" s="39"/>
      <c r="B35" s="39"/>
      <c r="C35" s="39"/>
      <c r="D35" s="39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96" t="s">
        <v>701</v>
      </c>
      <c r="D36" s="96"/>
      <c r="E36" s="96"/>
      <c r="F36" s="96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6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39"/>
      <c r="B38" s="39"/>
      <c r="C38" s="39"/>
      <c r="D38" s="39"/>
      <c r="E38" s="101" t="str">
        <f>MEAV!F75</f>
        <v>Services share of LV MEAV</v>
      </c>
      <c r="F38" s="39"/>
      <c r="G38" s="101" t="str">
        <f>MEAV!G75</f>
        <v>%</v>
      </c>
      <c r="H38" s="146">
        <f>MEAV!H75</f>
        <v>0.51102681644207948</v>
      </c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65"/>
      <c r="AT38" s="39"/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inputs'!E53</f>
        <v>Allocation rules allocation key, by cost category</v>
      </c>
      <c r="F40" s="39"/>
      <c r="G40" s="101" t="str">
        <f>'Fixed inputs'!G54</f>
        <v>option</v>
      </c>
      <c r="H40" s="110"/>
      <c r="I40" s="110"/>
      <c r="J40" s="140"/>
      <c r="K40" s="132" t="str">
        <f t="array" ref="K40:AR40">TRANSPOSE('Fixed inputs'!H55:H88)</f>
        <v>MEAV</v>
      </c>
      <c r="L40" s="132" t="str">
        <v>MEAV</v>
      </c>
      <c r="M40" s="132" t="str">
        <v>MEAV</v>
      </c>
      <c r="N40" s="132" t="str">
        <v>MEAV</v>
      </c>
      <c r="O40" s="132" t="str">
        <v>MEAV</v>
      </c>
      <c r="P40" s="132" t="str">
        <v>MEAV</v>
      </c>
      <c r="Q40" s="132" t="str">
        <v>MEAV</v>
      </c>
      <c r="R40" s="132" t="str">
        <v>MEAV</v>
      </c>
      <c r="S40" s="132" t="str">
        <v>MEAV</v>
      </c>
      <c r="T40" s="132" t="str">
        <v>MEAV</v>
      </c>
      <c r="U40" s="132" t="str">
        <v>MEAV</v>
      </c>
      <c r="V40" s="132" t="str">
        <v>MEAV</v>
      </c>
      <c r="W40" s="132" t="str">
        <v>MEAV</v>
      </c>
      <c r="X40" s="132" t="str">
        <v>MEAV</v>
      </c>
      <c r="Y40" s="132" t="str">
        <v>Do not allocate</v>
      </c>
      <c r="Z40" s="132" t="str">
        <v>Do not allocate</v>
      </c>
      <c r="AA40" s="132" t="str">
        <v>MEAV</v>
      </c>
      <c r="AB40" s="132" t="str">
        <v>MEAV</v>
      </c>
      <c r="AC40" s="132" t="str">
        <v>MEAV</v>
      </c>
      <c r="AD40" s="132" t="str">
        <v>MEAV</v>
      </c>
      <c r="AE40" s="132" t="str">
        <v>Do not allocate</v>
      </c>
      <c r="AF40" s="132" t="str">
        <v>Do not allocate</v>
      </c>
      <c r="AG40" s="132" t="str">
        <v>Do not allocate</v>
      </c>
      <c r="AH40" s="132" t="str">
        <v>Do not allocate</v>
      </c>
      <c r="AI40" s="132" t="str">
        <v>Do not allocate</v>
      </c>
      <c r="AJ40" s="132" t="str">
        <v>Do not allocate</v>
      </c>
      <c r="AK40" s="132" t="str">
        <v>Do not allocate</v>
      </c>
      <c r="AL40" s="132" t="str">
        <v>Do not allocate</v>
      </c>
      <c r="AM40" s="132" t="str">
        <v>Do not allocate</v>
      </c>
      <c r="AN40" s="132" t="str">
        <v>Deduct from revenue</v>
      </c>
      <c r="AO40" s="132" t="str">
        <v>Do not allocate</v>
      </c>
      <c r="AP40" s="132" t="str">
        <v>LV Services</v>
      </c>
      <c r="AQ40" s="132" t="str">
        <v>Do not allocate</v>
      </c>
      <c r="AR40" s="132" t="str">
        <v>LV Services</v>
      </c>
      <c r="AS40" s="65"/>
      <c r="AT40" s="39"/>
    </row>
    <row r="41" spans="1:46" x14ac:dyDescent="0.25">
      <c r="A41" s="39"/>
      <c r="B41" s="39"/>
      <c r="C41" s="39"/>
      <c r="D41" s="39"/>
      <c r="E41" s="101" t="str">
        <f>'Fixed inputs'!E49</f>
        <v>MEAV allocation option name</v>
      </c>
      <c r="F41" s="39"/>
      <c r="G41" s="101" t="str">
        <f>'Fixed inputs'!G55</f>
        <v>option</v>
      </c>
      <c r="H41" s="132" t="str">
        <f>'Fixed inputs'!H49</f>
        <v>MEAV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65"/>
      <c r="AT41" s="39"/>
    </row>
    <row r="42" spans="1:46" x14ac:dyDescent="0.25">
      <c r="A42" s="107"/>
      <c r="B42" s="39"/>
      <c r="C42" s="39"/>
      <c r="D42" s="39"/>
      <c r="E42" s="106" t="s">
        <v>535</v>
      </c>
      <c r="F42" s="39"/>
      <c r="G42" s="101" t="s">
        <v>191</v>
      </c>
      <c r="H42" s="116"/>
      <c r="I42" s="147" t="s">
        <v>314</v>
      </c>
      <c r="J42" s="116">
        <f t="shared" ref="J42:AQ42" si="12">IF($H41 = J40, 1, 0)</f>
        <v>0</v>
      </c>
      <c r="K42" s="116">
        <f t="shared" si="12"/>
        <v>1</v>
      </c>
      <c r="L42" s="116">
        <f t="shared" si="12"/>
        <v>1</v>
      </c>
      <c r="M42" s="116">
        <f t="shared" si="12"/>
        <v>1</v>
      </c>
      <c r="N42" s="116">
        <f t="shared" si="12"/>
        <v>1</v>
      </c>
      <c r="O42" s="116">
        <f t="shared" si="12"/>
        <v>1</v>
      </c>
      <c r="P42" s="116">
        <f t="shared" si="12"/>
        <v>1</v>
      </c>
      <c r="Q42" s="116">
        <f t="shared" si="12"/>
        <v>1</v>
      </c>
      <c r="R42" s="116">
        <f t="shared" si="12"/>
        <v>1</v>
      </c>
      <c r="S42" s="116">
        <f t="shared" si="12"/>
        <v>1</v>
      </c>
      <c r="T42" s="116">
        <f t="shared" si="12"/>
        <v>1</v>
      </c>
      <c r="U42" s="116">
        <f t="shared" si="12"/>
        <v>1</v>
      </c>
      <c r="V42" s="116">
        <f t="shared" si="12"/>
        <v>1</v>
      </c>
      <c r="W42" s="116">
        <f t="shared" si="12"/>
        <v>1</v>
      </c>
      <c r="X42" s="116">
        <f t="shared" si="12"/>
        <v>1</v>
      </c>
      <c r="Y42" s="116">
        <f t="shared" si="12"/>
        <v>0</v>
      </c>
      <c r="Z42" s="116">
        <f t="shared" si="12"/>
        <v>0</v>
      </c>
      <c r="AA42" s="116">
        <f t="shared" si="12"/>
        <v>1</v>
      </c>
      <c r="AB42" s="116">
        <f t="shared" si="12"/>
        <v>1</v>
      </c>
      <c r="AC42" s="116">
        <f t="shared" si="12"/>
        <v>1</v>
      </c>
      <c r="AD42" s="116">
        <f t="shared" si="12"/>
        <v>1</v>
      </c>
      <c r="AE42" s="116">
        <f t="shared" si="12"/>
        <v>0</v>
      </c>
      <c r="AF42" s="116">
        <f t="shared" si="12"/>
        <v>0</v>
      </c>
      <c r="AG42" s="116">
        <f t="shared" si="12"/>
        <v>0</v>
      </c>
      <c r="AH42" s="116">
        <f t="shared" si="12"/>
        <v>0</v>
      </c>
      <c r="AI42" s="116">
        <f t="shared" si="12"/>
        <v>0</v>
      </c>
      <c r="AJ42" s="116">
        <f t="shared" si="12"/>
        <v>0</v>
      </c>
      <c r="AK42" s="116">
        <f t="shared" si="12"/>
        <v>0</v>
      </c>
      <c r="AL42" s="116">
        <f t="shared" si="12"/>
        <v>0</v>
      </c>
      <c r="AM42" s="116">
        <f t="shared" si="12"/>
        <v>0</v>
      </c>
      <c r="AN42" s="116">
        <f t="shared" si="12"/>
        <v>0</v>
      </c>
      <c r="AO42" s="116">
        <f t="shared" si="12"/>
        <v>0</v>
      </c>
      <c r="AP42" s="116">
        <f t="shared" ref="AP42" si="13">IF($H41 = AP40, 1, 0)</f>
        <v>0</v>
      </c>
      <c r="AQ42" s="116">
        <f t="shared" si="12"/>
        <v>0</v>
      </c>
      <c r="AR42" s="116">
        <f t="shared" ref="AR42" si="14">IF($H41 = AR40, 1, 0)</f>
        <v>0</v>
      </c>
      <c r="AS42" s="65"/>
      <c r="AT42" s="101" t="s">
        <v>519</v>
      </c>
    </row>
    <row r="43" spans="1:4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39"/>
    </row>
    <row r="44" spans="1:46" x14ac:dyDescent="0.25">
      <c r="A44" s="107"/>
      <c r="B44" s="39"/>
      <c r="C44" s="39"/>
      <c r="D44" s="39"/>
      <c r="E44" s="98" t="s">
        <v>702</v>
      </c>
      <c r="F44" s="39"/>
      <c r="G44" s="39"/>
      <c r="H44" s="65"/>
      <c r="I44" s="112" t="s">
        <v>314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101" t="s">
        <v>519</v>
      </c>
    </row>
    <row r="45" spans="1:46" x14ac:dyDescent="0.25">
      <c r="A45" s="39"/>
      <c r="B45" s="39"/>
      <c r="C45" s="39"/>
      <c r="D45" s="39"/>
      <c r="E45" s="39"/>
      <c r="F45" s="99" t="s">
        <v>193</v>
      </c>
      <c r="G45" s="99" t="str">
        <f>G$19</f>
        <v>£ per year</v>
      </c>
      <c r="H45" s="125"/>
      <c r="I45" s="125"/>
      <c r="J45" s="143">
        <f>$H38 * J$31 * J42</f>
        <v>0</v>
      </c>
      <c r="K45" s="143">
        <f t="shared" ref="K45:AQ45" si="15">$H38 * K$31 * K42</f>
        <v>8158225.3473402318</v>
      </c>
      <c r="L45" s="143">
        <f t="shared" si="15"/>
        <v>0</v>
      </c>
      <c r="M45" s="143">
        <f t="shared" si="15"/>
        <v>7804619.6949297199</v>
      </c>
      <c r="N45" s="143">
        <f t="shared" si="15"/>
        <v>789082.9337759323</v>
      </c>
      <c r="O45" s="143">
        <f t="shared" si="15"/>
        <v>1584608.3994676846</v>
      </c>
      <c r="P45" s="143">
        <f t="shared" si="15"/>
        <v>0</v>
      </c>
      <c r="Q45" s="143">
        <f t="shared" si="15"/>
        <v>0</v>
      </c>
      <c r="R45" s="143">
        <f t="shared" si="15"/>
        <v>0</v>
      </c>
      <c r="S45" s="143">
        <f t="shared" si="15"/>
        <v>0</v>
      </c>
      <c r="T45" s="143">
        <f t="shared" si="15"/>
        <v>0</v>
      </c>
      <c r="U45" s="143">
        <f t="shared" si="15"/>
        <v>0</v>
      </c>
      <c r="V45" s="143">
        <f t="shared" si="15"/>
        <v>0</v>
      </c>
      <c r="W45" s="143">
        <f t="shared" si="15"/>
        <v>0</v>
      </c>
      <c r="X45" s="143">
        <f t="shared" si="15"/>
        <v>0</v>
      </c>
      <c r="Y45" s="143">
        <f t="shared" si="15"/>
        <v>0</v>
      </c>
      <c r="Z45" s="143">
        <f t="shared" si="15"/>
        <v>0</v>
      </c>
      <c r="AA45" s="143">
        <f t="shared" si="15"/>
        <v>0</v>
      </c>
      <c r="AB45" s="143">
        <f t="shared" si="15"/>
        <v>0</v>
      </c>
      <c r="AC45" s="143">
        <f t="shared" si="15"/>
        <v>0</v>
      </c>
      <c r="AD45" s="143">
        <f t="shared" si="15"/>
        <v>0</v>
      </c>
      <c r="AE45" s="143">
        <f t="shared" si="15"/>
        <v>0</v>
      </c>
      <c r="AF45" s="143">
        <f t="shared" si="15"/>
        <v>0</v>
      </c>
      <c r="AG45" s="143">
        <f t="shared" si="15"/>
        <v>0</v>
      </c>
      <c r="AH45" s="143">
        <f t="shared" si="15"/>
        <v>0</v>
      </c>
      <c r="AI45" s="143">
        <f t="shared" si="15"/>
        <v>0</v>
      </c>
      <c r="AJ45" s="143">
        <f t="shared" si="15"/>
        <v>0</v>
      </c>
      <c r="AK45" s="143">
        <f t="shared" si="15"/>
        <v>0</v>
      </c>
      <c r="AL45" s="143">
        <f t="shared" si="15"/>
        <v>0</v>
      </c>
      <c r="AM45" s="143">
        <f t="shared" si="15"/>
        <v>0</v>
      </c>
      <c r="AN45" s="143">
        <f t="shared" si="15"/>
        <v>0</v>
      </c>
      <c r="AO45" s="143">
        <f t="shared" si="15"/>
        <v>0</v>
      </c>
      <c r="AP45" s="143">
        <f t="shared" ref="AP45" si="16">$H38 * AP$31 * AP42</f>
        <v>0</v>
      </c>
      <c r="AQ45" s="143">
        <f t="shared" si="15"/>
        <v>0</v>
      </c>
      <c r="AR45" s="143">
        <f t="shared" ref="AR45" si="17">$H38 * AR$31 * AR42</f>
        <v>0</v>
      </c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194</v>
      </c>
      <c r="G46" s="101" t="str">
        <f>G$19</f>
        <v>£ per year</v>
      </c>
      <c r="H46" s="110"/>
      <c r="I46" s="110"/>
      <c r="J46" s="148">
        <f>J$31 - J45</f>
        <v>3833598.9292598576</v>
      </c>
      <c r="K46" s="148">
        <f t="shared" ref="K46:AQ46" si="18">K$31 - K45</f>
        <v>7806152.8121861517</v>
      </c>
      <c r="L46" s="148">
        <f t="shared" si="18"/>
        <v>0</v>
      </c>
      <c r="M46" s="148">
        <f t="shared" si="18"/>
        <v>7467807.1989616835</v>
      </c>
      <c r="N46" s="148">
        <f t="shared" si="18"/>
        <v>755029.64190015872</v>
      </c>
      <c r="O46" s="148">
        <f t="shared" si="18"/>
        <v>1516223.7848395871</v>
      </c>
      <c r="P46" s="148">
        <f t="shared" si="18"/>
        <v>0</v>
      </c>
      <c r="Q46" s="148">
        <f t="shared" si="18"/>
        <v>0</v>
      </c>
      <c r="R46" s="148">
        <f t="shared" si="18"/>
        <v>0</v>
      </c>
      <c r="S46" s="148">
        <f t="shared" si="18"/>
        <v>0</v>
      </c>
      <c r="T46" s="148">
        <f t="shared" si="18"/>
        <v>0</v>
      </c>
      <c r="U46" s="148">
        <f t="shared" si="18"/>
        <v>0</v>
      </c>
      <c r="V46" s="148">
        <f t="shared" si="18"/>
        <v>0</v>
      </c>
      <c r="W46" s="148">
        <f t="shared" si="18"/>
        <v>0</v>
      </c>
      <c r="X46" s="148">
        <f t="shared" si="18"/>
        <v>0</v>
      </c>
      <c r="Y46" s="148">
        <f t="shared" si="18"/>
        <v>0</v>
      </c>
      <c r="Z46" s="148">
        <f t="shared" si="18"/>
        <v>0</v>
      </c>
      <c r="AA46" s="148">
        <f t="shared" si="18"/>
        <v>0</v>
      </c>
      <c r="AB46" s="148">
        <f t="shared" si="18"/>
        <v>0</v>
      </c>
      <c r="AC46" s="148">
        <f t="shared" si="18"/>
        <v>0</v>
      </c>
      <c r="AD46" s="148">
        <f t="shared" si="18"/>
        <v>0</v>
      </c>
      <c r="AE46" s="148">
        <f t="shared" si="18"/>
        <v>0</v>
      </c>
      <c r="AF46" s="148">
        <f t="shared" si="18"/>
        <v>0</v>
      </c>
      <c r="AG46" s="148">
        <f t="shared" si="18"/>
        <v>0</v>
      </c>
      <c r="AH46" s="148">
        <f t="shared" si="18"/>
        <v>0</v>
      </c>
      <c r="AI46" s="148">
        <f t="shared" si="18"/>
        <v>0</v>
      </c>
      <c r="AJ46" s="148">
        <f t="shared" si="18"/>
        <v>0</v>
      </c>
      <c r="AK46" s="148">
        <f t="shared" si="18"/>
        <v>0</v>
      </c>
      <c r="AL46" s="148">
        <f t="shared" si="18"/>
        <v>0</v>
      </c>
      <c r="AM46" s="148">
        <f t="shared" si="18"/>
        <v>0</v>
      </c>
      <c r="AN46" s="148">
        <f t="shared" si="18"/>
        <v>0</v>
      </c>
      <c r="AO46" s="148">
        <f t="shared" si="18"/>
        <v>0</v>
      </c>
      <c r="AP46" s="148">
        <f t="shared" ref="AP46" si="19">AP$31 - AP45</f>
        <v>0</v>
      </c>
      <c r="AQ46" s="148">
        <f t="shared" si="18"/>
        <v>0</v>
      </c>
      <c r="AR46" s="148">
        <f t="shared" ref="AR46" si="20">AR$31 - AR45</f>
        <v>0</v>
      </c>
      <c r="AS46" s="65"/>
      <c r="AT46" s="39"/>
    </row>
    <row r="47" spans="1:46" x14ac:dyDescent="0.25">
      <c r="A47" s="39"/>
      <c r="B47" s="39"/>
      <c r="C47" s="39"/>
      <c r="D47" s="39"/>
      <c r="E47" s="39"/>
      <c r="F47" s="101" t="s">
        <v>41</v>
      </c>
      <c r="G47" s="101" t="str">
        <f>G$19</f>
        <v>£ per year</v>
      </c>
      <c r="H47" s="110"/>
      <c r="I47" s="110"/>
      <c r="J47" s="144">
        <f t="shared" ref="J47:AQ47" si="21">J32</f>
        <v>0</v>
      </c>
      <c r="K47" s="144">
        <f t="shared" si="21"/>
        <v>6928378.2203391073</v>
      </c>
      <c r="L47" s="144">
        <f t="shared" si="21"/>
        <v>0</v>
      </c>
      <c r="M47" s="144">
        <f t="shared" si="21"/>
        <v>582344.66945385642</v>
      </c>
      <c r="N47" s="144">
        <f t="shared" si="21"/>
        <v>5284050.4964611931</v>
      </c>
      <c r="O47" s="144">
        <f t="shared" si="21"/>
        <v>0</v>
      </c>
      <c r="P47" s="144">
        <f t="shared" si="21"/>
        <v>0</v>
      </c>
      <c r="Q47" s="144">
        <f t="shared" si="21"/>
        <v>0</v>
      </c>
      <c r="R47" s="144">
        <f t="shared" si="21"/>
        <v>0</v>
      </c>
      <c r="S47" s="144">
        <f t="shared" si="21"/>
        <v>0</v>
      </c>
      <c r="T47" s="144">
        <f t="shared" si="21"/>
        <v>0</v>
      </c>
      <c r="U47" s="144">
        <f t="shared" si="21"/>
        <v>0</v>
      </c>
      <c r="V47" s="144">
        <f t="shared" si="21"/>
        <v>0</v>
      </c>
      <c r="W47" s="144">
        <f t="shared" si="21"/>
        <v>0</v>
      </c>
      <c r="X47" s="144">
        <f t="shared" si="21"/>
        <v>0</v>
      </c>
      <c r="Y47" s="144">
        <f t="shared" si="21"/>
        <v>0</v>
      </c>
      <c r="Z47" s="144">
        <f t="shared" si="21"/>
        <v>0</v>
      </c>
      <c r="AA47" s="144">
        <f t="shared" si="21"/>
        <v>0</v>
      </c>
      <c r="AB47" s="144">
        <f t="shared" si="21"/>
        <v>0</v>
      </c>
      <c r="AC47" s="144">
        <f t="shared" si="21"/>
        <v>0</v>
      </c>
      <c r="AD47" s="144">
        <f t="shared" si="21"/>
        <v>0</v>
      </c>
      <c r="AE47" s="144">
        <f t="shared" si="21"/>
        <v>0</v>
      </c>
      <c r="AF47" s="144">
        <f t="shared" si="21"/>
        <v>0</v>
      </c>
      <c r="AG47" s="144">
        <f t="shared" si="21"/>
        <v>0</v>
      </c>
      <c r="AH47" s="144">
        <f t="shared" si="21"/>
        <v>0</v>
      </c>
      <c r="AI47" s="144">
        <f t="shared" si="21"/>
        <v>0</v>
      </c>
      <c r="AJ47" s="144">
        <f t="shared" si="21"/>
        <v>0</v>
      </c>
      <c r="AK47" s="144">
        <f t="shared" si="21"/>
        <v>0</v>
      </c>
      <c r="AL47" s="144">
        <f t="shared" si="21"/>
        <v>0</v>
      </c>
      <c r="AM47" s="144">
        <f t="shared" si="21"/>
        <v>0</v>
      </c>
      <c r="AN47" s="144">
        <f t="shared" si="21"/>
        <v>0</v>
      </c>
      <c r="AO47" s="144">
        <f t="shared" si="21"/>
        <v>0</v>
      </c>
      <c r="AP47" s="144">
        <f t="shared" ref="AP47" si="22">AP32</f>
        <v>0</v>
      </c>
      <c r="AQ47" s="144">
        <f t="shared" si="21"/>
        <v>0</v>
      </c>
      <c r="AR47" s="144">
        <f t="shared" ref="AR47" si="23">AR32</f>
        <v>0</v>
      </c>
      <c r="AS47" s="65"/>
      <c r="AT47" s="39"/>
    </row>
    <row r="48" spans="1:46" x14ac:dyDescent="0.25">
      <c r="A48" s="39"/>
      <c r="B48" s="39"/>
      <c r="C48" s="39"/>
      <c r="D48" s="39"/>
      <c r="E48" s="39"/>
      <c r="F48" s="101" t="s">
        <v>40</v>
      </c>
      <c r="G48" s="101" t="str">
        <f>G$19</f>
        <v>£ per year</v>
      </c>
      <c r="H48" s="110"/>
      <c r="I48" s="110"/>
      <c r="J48" s="144">
        <f t="shared" ref="J48:AQ48" si="24">J33</f>
        <v>5609437.7182151098</v>
      </c>
      <c r="K48" s="144">
        <f t="shared" si="24"/>
        <v>25847964.55954431</v>
      </c>
      <c r="L48" s="144">
        <f t="shared" si="24"/>
        <v>0</v>
      </c>
      <c r="M48" s="144">
        <f t="shared" si="24"/>
        <v>5279170.858943522</v>
      </c>
      <c r="N48" s="144">
        <f t="shared" si="24"/>
        <v>436263.57364726916</v>
      </c>
      <c r="O48" s="144">
        <f t="shared" si="24"/>
        <v>5282047.5418532779</v>
      </c>
      <c r="P48" s="144">
        <f t="shared" si="24"/>
        <v>0</v>
      </c>
      <c r="Q48" s="144">
        <f t="shared" si="24"/>
        <v>0</v>
      </c>
      <c r="R48" s="144">
        <f t="shared" si="24"/>
        <v>0</v>
      </c>
      <c r="S48" s="144">
        <f t="shared" si="24"/>
        <v>0</v>
      </c>
      <c r="T48" s="144">
        <f t="shared" si="24"/>
        <v>0</v>
      </c>
      <c r="U48" s="144">
        <f t="shared" si="24"/>
        <v>0</v>
      </c>
      <c r="V48" s="144">
        <f t="shared" si="24"/>
        <v>0</v>
      </c>
      <c r="W48" s="144">
        <f t="shared" si="24"/>
        <v>0</v>
      </c>
      <c r="X48" s="144">
        <f t="shared" si="24"/>
        <v>0</v>
      </c>
      <c r="Y48" s="144">
        <f t="shared" si="24"/>
        <v>0</v>
      </c>
      <c r="Z48" s="144">
        <f t="shared" si="24"/>
        <v>0</v>
      </c>
      <c r="AA48" s="144">
        <f t="shared" si="24"/>
        <v>0</v>
      </c>
      <c r="AB48" s="144">
        <f t="shared" si="24"/>
        <v>0</v>
      </c>
      <c r="AC48" s="144">
        <f t="shared" si="24"/>
        <v>0</v>
      </c>
      <c r="AD48" s="144">
        <f t="shared" si="24"/>
        <v>0</v>
      </c>
      <c r="AE48" s="144">
        <f t="shared" si="24"/>
        <v>0</v>
      </c>
      <c r="AF48" s="144">
        <f t="shared" si="24"/>
        <v>0</v>
      </c>
      <c r="AG48" s="144">
        <f t="shared" si="24"/>
        <v>0</v>
      </c>
      <c r="AH48" s="144">
        <f t="shared" si="24"/>
        <v>0</v>
      </c>
      <c r="AI48" s="144">
        <f t="shared" si="24"/>
        <v>0</v>
      </c>
      <c r="AJ48" s="144">
        <f t="shared" si="24"/>
        <v>0</v>
      </c>
      <c r="AK48" s="144">
        <f t="shared" si="24"/>
        <v>0</v>
      </c>
      <c r="AL48" s="144">
        <f t="shared" si="24"/>
        <v>0</v>
      </c>
      <c r="AM48" s="144">
        <f t="shared" si="24"/>
        <v>0</v>
      </c>
      <c r="AN48" s="144">
        <f t="shared" si="24"/>
        <v>0</v>
      </c>
      <c r="AO48" s="144">
        <f t="shared" si="24"/>
        <v>0</v>
      </c>
      <c r="AP48" s="144">
        <f t="shared" ref="AP48" si="25">AP33</f>
        <v>0</v>
      </c>
      <c r="AQ48" s="144">
        <f t="shared" si="24"/>
        <v>0</v>
      </c>
      <c r="AR48" s="144">
        <f t="shared" ref="AR48" si="26">AR33</f>
        <v>0</v>
      </c>
      <c r="AS48" s="65"/>
      <c r="AT48" s="39"/>
    </row>
    <row r="49" spans="1:46" x14ac:dyDescent="0.25">
      <c r="A49" s="39"/>
      <c r="B49" s="39"/>
      <c r="C49" s="39"/>
      <c r="D49" s="39"/>
      <c r="E49" s="39"/>
      <c r="F49" s="103" t="s">
        <v>166</v>
      </c>
      <c r="G49" s="103" t="str">
        <f>G$19</f>
        <v>£ per year</v>
      </c>
      <c r="H49" s="126"/>
      <c r="I49" s="127"/>
      <c r="J49" s="145">
        <f t="shared" ref="J49:AQ49" si="27">J34</f>
        <v>10180000</v>
      </c>
      <c r="K49" s="145">
        <f t="shared" si="27"/>
        <v>33944558.974318989</v>
      </c>
      <c r="L49" s="145">
        <f t="shared" si="27"/>
        <v>0</v>
      </c>
      <c r="M49" s="145">
        <f t="shared" si="27"/>
        <v>2714932.7240017327</v>
      </c>
      <c r="N49" s="145">
        <f t="shared" si="27"/>
        <v>2704219.8642422459</v>
      </c>
      <c r="O49" s="145">
        <f t="shared" si="27"/>
        <v>541261.35383944947</v>
      </c>
      <c r="P49" s="145">
        <f t="shared" si="27"/>
        <v>0</v>
      </c>
      <c r="Q49" s="145">
        <f t="shared" si="27"/>
        <v>0</v>
      </c>
      <c r="R49" s="145">
        <f t="shared" si="27"/>
        <v>0</v>
      </c>
      <c r="S49" s="145">
        <f t="shared" si="27"/>
        <v>0</v>
      </c>
      <c r="T49" s="145">
        <f t="shared" si="27"/>
        <v>0</v>
      </c>
      <c r="U49" s="145">
        <f t="shared" si="27"/>
        <v>0</v>
      </c>
      <c r="V49" s="145">
        <f t="shared" si="27"/>
        <v>0</v>
      </c>
      <c r="W49" s="145">
        <f t="shared" si="27"/>
        <v>0</v>
      </c>
      <c r="X49" s="145">
        <f t="shared" si="27"/>
        <v>0</v>
      </c>
      <c r="Y49" s="145">
        <f t="shared" si="27"/>
        <v>0</v>
      </c>
      <c r="Z49" s="145">
        <f t="shared" si="27"/>
        <v>0</v>
      </c>
      <c r="AA49" s="145">
        <f t="shared" si="27"/>
        <v>0</v>
      </c>
      <c r="AB49" s="145">
        <f t="shared" si="27"/>
        <v>0</v>
      </c>
      <c r="AC49" s="145">
        <f t="shared" si="27"/>
        <v>0</v>
      </c>
      <c r="AD49" s="145">
        <f t="shared" si="27"/>
        <v>0</v>
      </c>
      <c r="AE49" s="145">
        <f t="shared" si="27"/>
        <v>0</v>
      </c>
      <c r="AF49" s="145">
        <f t="shared" si="27"/>
        <v>0</v>
      </c>
      <c r="AG49" s="145">
        <f t="shared" si="27"/>
        <v>0</v>
      </c>
      <c r="AH49" s="145">
        <f t="shared" si="27"/>
        <v>0</v>
      </c>
      <c r="AI49" s="145">
        <f t="shared" si="27"/>
        <v>0</v>
      </c>
      <c r="AJ49" s="145">
        <f t="shared" si="27"/>
        <v>0</v>
      </c>
      <c r="AK49" s="145">
        <f t="shared" si="27"/>
        <v>0</v>
      </c>
      <c r="AL49" s="145">
        <f t="shared" si="27"/>
        <v>0</v>
      </c>
      <c r="AM49" s="145">
        <f t="shared" si="27"/>
        <v>0</v>
      </c>
      <c r="AN49" s="145">
        <f t="shared" si="27"/>
        <v>0</v>
      </c>
      <c r="AO49" s="145">
        <f t="shared" si="27"/>
        <v>0</v>
      </c>
      <c r="AP49" s="145">
        <f t="shared" ref="AP49" si="28">AP34</f>
        <v>0</v>
      </c>
      <c r="AQ49" s="145">
        <f t="shared" si="27"/>
        <v>0</v>
      </c>
      <c r="AR49" s="145">
        <f t="shared" ref="AR49" si="29">AR34</f>
        <v>0</v>
      </c>
      <c r="AS49" s="65"/>
      <c r="AT49" s="39"/>
    </row>
    <row r="50" spans="1:46" x14ac:dyDescent="0.25">
      <c r="A50" s="39"/>
      <c r="B50" s="39"/>
      <c r="C50" s="39"/>
      <c r="D50" s="39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39"/>
    </row>
    <row r="51" spans="1:46" x14ac:dyDescent="0.25">
      <c r="A51" s="39"/>
      <c r="B51" s="39"/>
      <c r="C51" s="39"/>
      <c r="D51" s="39"/>
      <c r="E51" s="101" t="s">
        <v>246</v>
      </c>
      <c r="F51" s="39"/>
      <c r="G51" s="101" t="s">
        <v>438</v>
      </c>
      <c r="H51" s="110"/>
      <c r="I51" s="110"/>
      <c r="J51" s="110">
        <f t="shared" ref="J51:AQ51" si="30">SUM(J45:J49)</f>
        <v>19623036.647474967</v>
      </c>
      <c r="K51" s="110">
        <f t="shared" si="30"/>
        <v>82685279.913728788</v>
      </c>
      <c r="L51" s="110">
        <f t="shared" si="30"/>
        <v>0</v>
      </c>
      <c r="M51" s="110">
        <f t="shared" si="30"/>
        <v>23848875.146290515</v>
      </c>
      <c r="N51" s="110">
        <f t="shared" si="30"/>
        <v>9968646.5100267995</v>
      </c>
      <c r="O51" s="110">
        <f t="shared" si="30"/>
        <v>8924141.0799999982</v>
      </c>
      <c r="P51" s="110">
        <f t="shared" si="30"/>
        <v>0</v>
      </c>
      <c r="Q51" s="110">
        <f t="shared" si="30"/>
        <v>0</v>
      </c>
      <c r="R51" s="110">
        <f t="shared" si="30"/>
        <v>0</v>
      </c>
      <c r="S51" s="110">
        <f t="shared" si="30"/>
        <v>0</v>
      </c>
      <c r="T51" s="110">
        <f t="shared" si="30"/>
        <v>0</v>
      </c>
      <c r="U51" s="110">
        <f t="shared" si="30"/>
        <v>0</v>
      </c>
      <c r="V51" s="110">
        <f t="shared" si="30"/>
        <v>0</v>
      </c>
      <c r="W51" s="110">
        <f t="shared" si="30"/>
        <v>0</v>
      </c>
      <c r="X51" s="110">
        <f t="shared" si="30"/>
        <v>0</v>
      </c>
      <c r="Y51" s="110">
        <f t="shared" si="30"/>
        <v>0</v>
      </c>
      <c r="Z51" s="110">
        <f t="shared" si="30"/>
        <v>0</v>
      </c>
      <c r="AA51" s="110">
        <f t="shared" si="30"/>
        <v>0</v>
      </c>
      <c r="AB51" s="110">
        <f t="shared" si="30"/>
        <v>0</v>
      </c>
      <c r="AC51" s="110">
        <f t="shared" si="30"/>
        <v>0</v>
      </c>
      <c r="AD51" s="110">
        <f t="shared" si="30"/>
        <v>0</v>
      </c>
      <c r="AE51" s="110">
        <f t="shared" si="30"/>
        <v>0</v>
      </c>
      <c r="AF51" s="110">
        <f t="shared" si="30"/>
        <v>0</v>
      </c>
      <c r="AG51" s="110">
        <f t="shared" si="30"/>
        <v>0</v>
      </c>
      <c r="AH51" s="110">
        <f t="shared" si="30"/>
        <v>0</v>
      </c>
      <c r="AI51" s="110">
        <f t="shared" si="30"/>
        <v>0</v>
      </c>
      <c r="AJ51" s="110">
        <f t="shared" si="30"/>
        <v>0</v>
      </c>
      <c r="AK51" s="110">
        <f t="shared" si="30"/>
        <v>0</v>
      </c>
      <c r="AL51" s="110">
        <f t="shared" si="30"/>
        <v>0</v>
      </c>
      <c r="AM51" s="110">
        <f t="shared" si="30"/>
        <v>0</v>
      </c>
      <c r="AN51" s="110">
        <f t="shared" si="30"/>
        <v>0</v>
      </c>
      <c r="AO51" s="110">
        <f t="shared" si="30"/>
        <v>0</v>
      </c>
      <c r="AP51" s="110">
        <f t="shared" ref="AP51" si="31">SUM(AP45:AP49)</f>
        <v>0</v>
      </c>
      <c r="AQ51" s="110">
        <f t="shared" si="30"/>
        <v>0</v>
      </c>
      <c r="AR51" s="110">
        <f t="shared" ref="AR51" si="32">SUM(AR45:AR49)</f>
        <v>0</v>
      </c>
      <c r="AS51" s="65"/>
      <c r="AT51" s="39"/>
    </row>
    <row r="52" spans="1:46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93" t="s">
        <v>247</v>
      </c>
      <c r="C53" s="93"/>
      <c r="D53" s="93"/>
      <c r="E53" s="93"/>
      <c r="F53" s="93"/>
      <c r="G53" s="93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3"/>
    </row>
    <row r="54" spans="1:46" x14ac:dyDescent="0.25">
      <c r="A54" s="39"/>
      <c r="B54" s="39"/>
      <c r="C54" s="39"/>
      <c r="D54" s="39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95" t="s">
        <v>502</v>
      </c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39"/>
      <c r="B56" s="39"/>
      <c r="C56" s="95" t="s">
        <v>503</v>
      </c>
      <c r="D56" s="95"/>
      <c r="E56" s="39"/>
      <c r="F56" s="39"/>
      <c r="G56" s="39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39"/>
    </row>
    <row r="57" spans="1:4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39"/>
    </row>
    <row r="58" spans="1:46" x14ac:dyDescent="0.25">
      <c r="A58" s="39"/>
      <c r="B58" s="39"/>
      <c r="C58" s="96" t="s">
        <v>624</v>
      </c>
      <c r="D58" s="96"/>
      <c r="E58" s="96"/>
      <c r="F58" s="96"/>
      <c r="G58" s="96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6"/>
    </row>
    <row r="59" spans="1:46" x14ac:dyDescent="0.25">
      <c r="A59" s="39"/>
      <c r="B59" s="39"/>
      <c r="C59" s="95"/>
      <c r="D59" s="95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39"/>
      <c r="C60" s="39"/>
      <c r="D60" s="95"/>
      <c r="E60" s="101" t="str">
        <f>'DNO inputs'!E262</f>
        <v>2007/08 RRP expenditure, by cost category</v>
      </c>
      <c r="F60" s="39"/>
      <c r="G60" s="101" t="str">
        <f>'DNO inputs'!G263</f>
        <v>£ per year</v>
      </c>
      <c r="H60" s="110"/>
      <c r="I60" s="110"/>
      <c r="J60" s="132">
        <f t="array" ref="J60:AR60">TRANSPOSE('DNO inputs'!H263:H297)</f>
        <v>0</v>
      </c>
      <c r="K60" s="132">
        <v>86738652.873247191</v>
      </c>
      <c r="L60" s="132">
        <v>2290199.98832</v>
      </c>
      <c r="M60" s="132">
        <v>23607461.477008216</v>
      </c>
      <c r="N60" s="132">
        <v>11683384.510026801</v>
      </c>
      <c r="O60" s="132">
        <v>4908277.5940000005</v>
      </c>
      <c r="P60" s="132">
        <v>774869.38446319988</v>
      </c>
      <c r="Q60" s="132">
        <v>5623596.7952637831</v>
      </c>
      <c r="R60" s="132">
        <v>4196281.057910746</v>
      </c>
      <c r="S60" s="132">
        <v>23392225.305936411</v>
      </c>
      <c r="T60" s="132">
        <v>3993267.1215815498</v>
      </c>
      <c r="U60" s="132">
        <v>1843095.2204672005</v>
      </c>
      <c r="V60" s="132">
        <v>1439482.6722359997</v>
      </c>
      <c r="W60" s="132">
        <v>1363081.0727301883</v>
      </c>
      <c r="X60" s="132">
        <v>5439945.9945200011</v>
      </c>
      <c r="Y60" s="132">
        <v>11413705.956353251</v>
      </c>
      <c r="Z60" s="132">
        <v>5534355.2999991588</v>
      </c>
      <c r="AA60" s="132">
        <v>1372637.3768207175</v>
      </c>
      <c r="AB60" s="132">
        <v>1961463.4264481019</v>
      </c>
      <c r="AC60" s="132">
        <v>7781675.5968572572</v>
      </c>
      <c r="AD60" s="132">
        <v>1536754.3240344031</v>
      </c>
      <c r="AE60" s="132">
        <v>2241851.08</v>
      </c>
      <c r="AF60" s="132">
        <v>7620000</v>
      </c>
      <c r="AG60" s="132">
        <v>815642.07</v>
      </c>
      <c r="AH60" s="132">
        <v>12183907.341469606</v>
      </c>
      <c r="AI60" s="132">
        <v>0.13999999737279722</v>
      </c>
      <c r="AJ60" s="132">
        <v>1014745.8008000003</v>
      </c>
      <c r="AK60" s="132">
        <v>-5196946.3263321621</v>
      </c>
      <c r="AL60" s="132">
        <v>39130465.450300001</v>
      </c>
      <c r="AM60" s="132">
        <v>20184226.800000001</v>
      </c>
      <c r="AN60" s="132">
        <v>8000000</v>
      </c>
      <c r="AO60" s="132">
        <v>-7620000</v>
      </c>
      <c r="AP60" s="132">
        <v>1450093.49</v>
      </c>
      <c r="AQ60" s="132">
        <v>2470943.7074936316</v>
      </c>
      <c r="AR60" s="132">
        <v>0</v>
      </c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107"/>
      <c r="B62" s="39"/>
      <c r="C62" s="39"/>
      <c r="D62" s="39"/>
      <c r="E62" s="101" t="s">
        <v>248</v>
      </c>
      <c r="F62" s="39"/>
      <c r="G62" s="101" t="str">
        <f>G$19</f>
        <v>£ per year</v>
      </c>
      <c r="H62" s="110"/>
      <c r="I62" s="123" t="s">
        <v>314</v>
      </c>
      <c r="J62" s="110">
        <f>J60 - J51</f>
        <v>-19623036.647474967</v>
      </c>
      <c r="K62" s="110">
        <f t="shared" ref="K62:AQ62" si="33">K60 - K51</f>
        <v>4053372.9595184028</v>
      </c>
      <c r="L62" s="110">
        <f t="shared" si="33"/>
        <v>2290199.98832</v>
      </c>
      <c r="M62" s="110">
        <f t="shared" si="33"/>
        <v>-241413.66928229854</v>
      </c>
      <c r="N62" s="110">
        <f t="shared" si="33"/>
        <v>1714738.0000000019</v>
      </c>
      <c r="O62" s="110">
        <f t="shared" si="33"/>
        <v>-4015863.4859999977</v>
      </c>
      <c r="P62" s="110">
        <f t="shared" si="33"/>
        <v>774869.38446319988</v>
      </c>
      <c r="Q62" s="110">
        <f t="shared" si="33"/>
        <v>5623596.7952637831</v>
      </c>
      <c r="R62" s="110">
        <f t="shared" si="33"/>
        <v>4196281.057910746</v>
      </c>
      <c r="S62" s="110">
        <f t="shared" si="33"/>
        <v>23392225.305936411</v>
      </c>
      <c r="T62" s="110">
        <f t="shared" si="33"/>
        <v>3993267.1215815498</v>
      </c>
      <c r="U62" s="110">
        <f t="shared" si="33"/>
        <v>1843095.2204672005</v>
      </c>
      <c r="V62" s="110">
        <f t="shared" si="33"/>
        <v>1439482.6722359997</v>
      </c>
      <c r="W62" s="110">
        <f t="shared" si="33"/>
        <v>1363081.0727301883</v>
      </c>
      <c r="X62" s="110">
        <f t="shared" si="33"/>
        <v>5439945.9945200011</v>
      </c>
      <c r="Y62" s="110">
        <f t="shared" si="33"/>
        <v>11413705.956353251</v>
      </c>
      <c r="Z62" s="110">
        <f t="shared" si="33"/>
        <v>5534355.2999991588</v>
      </c>
      <c r="AA62" s="110">
        <f t="shared" si="33"/>
        <v>1372637.3768207175</v>
      </c>
      <c r="AB62" s="110">
        <f t="shared" si="33"/>
        <v>1961463.4264481019</v>
      </c>
      <c r="AC62" s="110">
        <f t="shared" si="33"/>
        <v>7781675.5968572572</v>
      </c>
      <c r="AD62" s="110">
        <f t="shared" si="33"/>
        <v>1536754.3240344031</v>
      </c>
      <c r="AE62" s="110">
        <f t="shared" si="33"/>
        <v>2241851.08</v>
      </c>
      <c r="AF62" s="110">
        <f t="shared" si="33"/>
        <v>7620000</v>
      </c>
      <c r="AG62" s="110">
        <f t="shared" si="33"/>
        <v>815642.07</v>
      </c>
      <c r="AH62" s="110">
        <f t="shared" si="33"/>
        <v>12183907.341469606</v>
      </c>
      <c r="AI62" s="110">
        <f t="shared" si="33"/>
        <v>0.13999999737279722</v>
      </c>
      <c r="AJ62" s="110">
        <f t="shared" si="33"/>
        <v>1014745.8008000003</v>
      </c>
      <c r="AK62" s="110">
        <f t="shared" si="33"/>
        <v>-5196946.3263321621</v>
      </c>
      <c r="AL62" s="110">
        <f t="shared" si="33"/>
        <v>39130465.450300001</v>
      </c>
      <c r="AM62" s="110">
        <f t="shared" si="33"/>
        <v>20184226.800000001</v>
      </c>
      <c r="AN62" s="110">
        <f t="shared" si="33"/>
        <v>8000000</v>
      </c>
      <c r="AO62" s="110">
        <f t="shared" si="33"/>
        <v>-7620000</v>
      </c>
      <c r="AP62" s="110">
        <f t="shared" ref="AP62" si="34">AP60 - AP51</f>
        <v>1450093.49</v>
      </c>
      <c r="AQ62" s="110">
        <f t="shared" si="33"/>
        <v>2470943.7074936316</v>
      </c>
      <c r="AR62" s="110">
        <f t="shared" ref="AR62" si="35">AR60 - AR51</f>
        <v>0</v>
      </c>
      <c r="AS62" s="65"/>
      <c r="AT62" s="101" t="s">
        <v>569</v>
      </c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39"/>
      <c r="C64" s="39"/>
      <c r="D64" s="39"/>
      <c r="E64" s="101" t="str">
        <f>'Fixed inputs'!E53</f>
        <v>Allocation rules allocation key, by cost category</v>
      </c>
      <c r="F64" s="39"/>
      <c r="G64" s="101" t="str">
        <f>'Fixed inputs'!G54</f>
        <v>option</v>
      </c>
      <c r="H64" s="110"/>
      <c r="I64" s="110"/>
      <c r="J64" s="140"/>
      <c r="K64" s="132" t="str">
        <f t="array" ref="K64:AR64">TRANSPOSE('Fixed inputs'!H55:H88)</f>
        <v>MEAV</v>
      </c>
      <c r="L64" s="132" t="str">
        <v>MEAV</v>
      </c>
      <c r="M64" s="132" t="str">
        <v>MEAV</v>
      </c>
      <c r="N64" s="132" t="str">
        <v>MEAV</v>
      </c>
      <c r="O64" s="132" t="str">
        <v>MEAV</v>
      </c>
      <c r="P64" s="132" t="str">
        <v>MEAV</v>
      </c>
      <c r="Q64" s="132" t="str">
        <v>MEAV</v>
      </c>
      <c r="R64" s="132" t="str">
        <v>MEAV</v>
      </c>
      <c r="S64" s="132" t="str">
        <v>MEAV</v>
      </c>
      <c r="T64" s="132" t="str">
        <v>MEAV</v>
      </c>
      <c r="U64" s="132" t="str">
        <v>MEAV</v>
      </c>
      <c r="V64" s="132" t="str">
        <v>MEAV</v>
      </c>
      <c r="W64" s="132" t="str">
        <v>MEAV</v>
      </c>
      <c r="X64" s="132" t="str">
        <v>MEAV</v>
      </c>
      <c r="Y64" s="132" t="str">
        <v>Do not allocate</v>
      </c>
      <c r="Z64" s="132" t="str">
        <v>Do not allocate</v>
      </c>
      <c r="AA64" s="132" t="str">
        <v>MEAV</v>
      </c>
      <c r="AB64" s="132" t="str">
        <v>MEAV</v>
      </c>
      <c r="AC64" s="132" t="str">
        <v>MEAV</v>
      </c>
      <c r="AD64" s="132" t="str">
        <v>MEAV</v>
      </c>
      <c r="AE64" s="132" t="str">
        <v>Do not allocate</v>
      </c>
      <c r="AF64" s="132" t="str">
        <v>Do not allocate</v>
      </c>
      <c r="AG64" s="132" t="str">
        <v>Do not allocate</v>
      </c>
      <c r="AH64" s="132" t="str">
        <v>Do not allocate</v>
      </c>
      <c r="AI64" s="132" t="str">
        <v>Do not allocate</v>
      </c>
      <c r="AJ64" s="132" t="str">
        <v>Do not allocate</v>
      </c>
      <c r="AK64" s="132" t="str">
        <v>Do not allocate</v>
      </c>
      <c r="AL64" s="132" t="str">
        <v>Do not allocate</v>
      </c>
      <c r="AM64" s="132" t="str">
        <v>Do not allocate</v>
      </c>
      <c r="AN64" s="132" t="str">
        <v>Deduct from revenue</v>
      </c>
      <c r="AO64" s="132" t="str">
        <v>Do not allocate</v>
      </c>
      <c r="AP64" s="132" t="str">
        <v>LV Services</v>
      </c>
      <c r="AQ64" s="132" t="str">
        <v>Do not allocate</v>
      </c>
      <c r="AR64" s="132" t="str">
        <v>LV Services</v>
      </c>
      <c r="AS64" s="65"/>
      <c r="AT64" s="39"/>
    </row>
    <row r="65" spans="1:4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39"/>
    </row>
    <row r="66" spans="1:46" x14ac:dyDescent="0.25">
      <c r="A66" s="39"/>
      <c r="B66" s="39"/>
      <c r="C66" s="39"/>
      <c r="D66" s="39"/>
      <c r="E66" s="101" t="str">
        <f>'Fixed inputs'!E49</f>
        <v>MEAV allocation option name</v>
      </c>
      <c r="F66" s="39"/>
      <c r="G66" s="101" t="s">
        <v>354</v>
      </c>
      <c r="H66" s="132" t="str">
        <f>'Fixed inputs'!H49</f>
        <v>MEAV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65"/>
      <c r="AT66" s="39"/>
    </row>
    <row r="67" spans="1:46" x14ac:dyDescent="0.25">
      <c r="A67" s="107"/>
      <c r="B67" s="39"/>
      <c r="C67" s="39"/>
      <c r="D67" s="39"/>
      <c r="E67" s="106" t="s">
        <v>535</v>
      </c>
      <c r="F67" s="39"/>
      <c r="G67" s="101" t="s">
        <v>191</v>
      </c>
      <c r="H67" s="116"/>
      <c r="I67" s="147" t="s">
        <v>314</v>
      </c>
      <c r="J67" s="116">
        <f t="shared" ref="J67:AQ67" si="36">IF($H66 = J64, 1, 0)</f>
        <v>0</v>
      </c>
      <c r="K67" s="116">
        <f t="shared" si="36"/>
        <v>1</v>
      </c>
      <c r="L67" s="116">
        <f t="shared" si="36"/>
        <v>1</v>
      </c>
      <c r="M67" s="116">
        <f t="shared" si="36"/>
        <v>1</v>
      </c>
      <c r="N67" s="116">
        <f t="shared" si="36"/>
        <v>1</v>
      </c>
      <c r="O67" s="116">
        <f t="shared" si="36"/>
        <v>1</v>
      </c>
      <c r="P67" s="116">
        <f t="shared" si="36"/>
        <v>1</v>
      </c>
      <c r="Q67" s="116">
        <f t="shared" si="36"/>
        <v>1</v>
      </c>
      <c r="R67" s="116">
        <f t="shared" si="36"/>
        <v>1</v>
      </c>
      <c r="S67" s="116">
        <f t="shared" si="36"/>
        <v>1</v>
      </c>
      <c r="T67" s="116">
        <f t="shared" si="36"/>
        <v>1</v>
      </c>
      <c r="U67" s="116">
        <f t="shared" si="36"/>
        <v>1</v>
      </c>
      <c r="V67" s="116">
        <f t="shared" si="36"/>
        <v>1</v>
      </c>
      <c r="W67" s="116">
        <f t="shared" si="36"/>
        <v>1</v>
      </c>
      <c r="X67" s="116">
        <f t="shared" si="36"/>
        <v>1</v>
      </c>
      <c r="Y67" s="116">
        <f t="shared" si="36"/>
        <v>0</v>
      </c>
      <c r="Z67" s="116">
        <f t="shared" si="36"/>
        <v>0</v>
      </c>
      <c r="AA67" s="116">
        <f t="shared" si="36"/>
        <v>1</v>
      </c>
      <c r="AB67" s="116">
        <f t="shared" si="36"/>
        <v>1</v>
      </c>
      <c r="AC67" s="116">
        <f t="shared" si="36"/>
        <v>1</v>
      </c>
      <c r="AD67" s="116">
        <f t="shared" si="36"/>
        <v>1</v>
      </c>
      <c r="AE67" s="116">
        <f t="shared" si="36"/>
        <v>0</v>
      </c>
      <c r="AF67" s="116">
        <f t="shared" si="36"/>
        <v>0</v>
      </c>
      <c r="AG67" s="116">
        <f t="shared" si="36"/>
        <v>0</v>
      </c>
      <c r="AH67" s="116">
        <f t="shared" si="36"/>
        <v>0</v>
      </c>
      <c r="AI67" s="116">
        <f t="shared" si="36"/>
        <v>0</v>
      </c>
      <c r="AJ67" s="116">
        <f t="shared" si="36"/>
        <v>0</v>
      </c>
      <c r="AK67" s="116">
        <f t="shared" si="36"/>
        <v>0</v>
      </c>
      <c r="AL67" s="116">
        <f t="shared" si="36"/>
        <v>0</v>
      </c>
      <c r="AM67" s="116">
        <f t="shared" si="36"/>
        <v>0</v>
      </c>
      <c r="AN67" s="116">
        <f t="shared" si="36"/>
        <v>0</v>
      </c>
      <c r="AO67" s="116">
        <f t="shared" si="36"/>
        <v>0</v>
      </c>
      <c r="AP67" s="116">
        <f t="shared" ref="AP67" si="37">IF($H66 = AP64, 1, 0)</f>
        <v>0</v>
      </c>
      <c r="AQ67" s="116">
        <f t="shared" si="36"/>
        <v>0</v>
      </c>
      <c r="AR67" s="116">
        <f t="shared" ref="AR67" si="38">IF($H66 = AR64, 1, 0)</f>
        <v>0</v>
      </c>
      <c r="AS67" s="65"/>
      <c r="AT67" s="101" t="s">
        <v>569</v>
      </c>
    </row>
    <row r="68" spans="1:4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39"/>
    </row>
    <row r="69" spans="1:46" x14ac:dyDescent="0.25">
      <c r="A69" s="107"/>
      <c r="B69" s="39"/>
      <c r="C69" s="39"/>
      <c r="D69" s="39"/>
      <c r="E69" s="101" t="s">
        <v>263</v>
      </c>
      <c r="F69" s="39"/>
      <c r="G69" s="101" t="str">
        <f>G$19</f>
        <v>£ per year</v>
      </c>
      <c r="H69" s="110"/>
      <c r="I69" s="123" t="s">
        <v>314</v>
      </c>
      <c r="J69" s="110">
        <f>J62 * J67</f>
        <v>0</v>
      </c>
      <c r="K69" s="110">
        <f t="shared" ref="K69:AQ69" si="39">K62 * K67</f>
        <v>4053372.9595184028</v>
      </c>
      <c r="L69" s="110">
        <f t="shared" si="39"/>
        <v>2290199.98832</v>
      </c>
      <c r="M69" s="110">
        <f t="shared" si="39"/>
        <v>-241413.66928229854</v>
      </c>
      <c r="N69" s="110">
        <f t="shared" si="39"/>
        <v>1714738.0000000019</v>
      </c>
      <c r="O69" s="110">
        <f t="shared" si="39"/>
        <v>-4015863.4859999977</v>
      </c>
      <c r="P69" s="110">
        <f t="shared" si="39"/>
        <v>774869.38446319988</v>
      </c>
      <c r="Q69" s="110">
        <f t="shared" si="39"/>
        <v>5623596.7952637831</v>
      </c>
      <c r="R69" s="110">
        <f t="shared" si="39"/>
        <v>4196281.057910746</v>
      </c>
      <c r="S69" s="110">
        <f t="shared" si="39"/>
        <v>23392225.305936411</v>
      </c>
      <c r="T69" s="110">
        <f t="shared" si="39"/>
        <v>3993267.1215815498</v>
      </c>
      <c r="U69" s="110">
        <f t="shared" si="39"/>
        <v>1843095.2204672005</v>
      </c>
      <c r="V69" s="110">
        <f t="shared" si="39"/>
        <v>1439482.6722359997</v>
      </c>
      <c r="W69" s="110">
        <f t="shared" si="39"/>
        <v>1363081.0727301883</v>
      </c>
      <c r="X69" s="110">
        <f t="shared" si="39"/>
        <v>5439945.9945200011</v>
      </c>
      <c r="Y69" s="110">
        <f t="shared" si="39"/>
        <v>0</v>
      </c>
      <c r="Z69" s="110">
        <f t="shared" si="39"/>
        <v>0</v>
      </c>
      <c r="AA69" s="110">
        <f t="shared" si="39"/>
        <v>1372637.3768207175</v>
      </c>
      <c r="AB69" s="110">
        <f t="shared" si="39"/>
        <v>1961463.4264481019</v>
      </c>
      <c r="AC69" s="110">
        <f t="shared" si="39"/>
        <v>7781675.5968572572</v>
      </c>
      <c r="AD69" s="110">
        <f t="shared" si="39"/>
        <v>1536754.3240344031</v>
      </c>
      <c r="AE69" s="110">
        <f t="shared" si="39"/>
        <v>0</v>
      </c>
      <c r="AF69" s="110">
        <f t="shared" si="39"/>
        <v>0</v>
      </c>
      <c r="AG69" s="110">
        <f t="shared" si="39"/>
        <v>0</v>
      </c>
      <c r="AH69" s="110">
        <f t="shared" si="39"/>
        <v>0</v>
      </c>
      <c r="AI69" s="110">
        <f t="shared" si="39"/>
        <v>0</v>
      </c>
      <c r="AJ69" s="110">
        <f t="shared" si="39"/>
        <v>0</v>
      </c>
      <c r="AK69" s="110">
        <f t="shared" si="39"/>
        <v>0</v>
      </c>
      <c r="AL69" s="110">
        <f t="shared" si="39"/>
        <v>0</v>
      </c>
      <c r="AM69" s="110">
        <f t="shared" si="39"/>
        <v>0</v>
      </c>
      <c r="AN69" s="110">
        <f t="shared" si="39"/>
        <v>0</v>
      </c>
      <c r="AO69" s="110">
        <f t="shared" si="39"/>
        <v>0</v>
      </c>
      <c r="AP69" s="110">
        <f t="shared" ref="AP69" si="40">AP62 * AP67</f>
        <v>0</v>
      </c>
      <c r="AQ69" s="110">
        <f t="shared" si="39"/>
        <v>0</v>
      </c>
      <c r="AR69" s="110">
        <f t="shared" ref="AR69" si="41">AR62 * AR67</f>
        <v>0</v>
      </c>
      <c r="AS69" s="65"/>
      <c r="AT69" s="101" t="s">
        <v>569</v>
      </c>
    </row>
    <row r="70" spans="1:46" x14ac:dyDescent="0.25">
      <c r="A70" s="39"/>
      <c r="B70" s="39"/>
      <c r="C70" s="39"/>
      <c r="D70" s="39"/>
      <c r="E70" s="95"/>
      <c r="F70" s="39"/>
      <c r="G70" s="39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39"/>
    </row>
    <row r="71" spans="1:46" x14ac:dyDescent="0.25">
      <c r="A71" s="39"/>
      <c r="B71" s="39"/>
      <c r="C71" s="96" t="s">
        <v>625</v>
      </c>
      <c r="D71" s="96"/>
      <c r="E71" s="96"/>
      <c r="F71" s="96"/>
      <c r="G71" s="96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6"/>
    </row>
    <row r="72" spans="1:46" x14ac:dyDescent="0.25">
      <c r="A72" s="39"/>
      <c r="B72" s="39"/>
      <c r="C72" s="95"/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39"/>
    </row>
    <row r="73" spans="1:46" x14ac:dyDescent="0.25">
      <c r="A73" s="39"/>
      <c r="B73" s="39"/>
      <c r="C73" s="39"/>
      <c r="D73" s="95"/>
      <c r="E73" s="98" t="str">
        <f>MEAV!E65</f>
        <v>Share of total MEAV, by network level</v>
      </c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39"/>
      <c r="F74" s="99" t="str">
        <f>MEAV!F66</f>
        <v>LV services</v>
      </c>
      <c r="G74" s="99" t="str">
        <f>MEAV!G66</f>
        <v>%</v>
      </c>
      <c r="H74" s="149">
        <f>MEAV!H66</f>
        <v>0.23317453252969872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65"/>
      <c r="AT74" s="39"/>
    </row>
    <row r="75" spans="1:46" x14ac:dyDescent="0.25">
      <c r="A75" s="39"/>
      <c r="B75" s="39"/>
      <c r="C75" s="39"/>
      <c r="D75" s="39"/>
      <c r="E75" s="39"/>
      <c r="F75" s="101" t="str">
        <f>MEAV!F67</f>
        <v>LV mains</v>
      </c>
      <c r="G75" s="101" t="str">
        <f>MEAV!G67</f>
        <v>%</v>
      </c>
      <c r="H75" s="146">
        <f>MEAV!H67</f>
        <v>0.22311176209790828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65"/>
      <c r="AT75" s="39"/>
    </row>
    <row r="76" spans="1:46" x14ac:dyDescent="0.25">
      <c r="A76" s="39"/>
      <c r="B76" s="39"/>
      <c r="C76" s="39"/>
      <c r="D76" s="39"/>
      <c r="E76" s="39"/>
      <c r="F76" s="101" t="str">
        <f>MEAV!F68</f>
        <v>HV/LV</v>
      </c>
      <c r="G76" s="101" t="str">
        <f>MEAV!G68</f>
        <v>%</v>
      </c>
      <c r="H76" s="146">
        <f>MEAV!H68</f>
        <v>3.5342219338092909E-2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65"/>
      <c r="AT76" s="39"/>
    </row>
    <row r="77" spans="1:46" x14ac:dyDescent="0.25">
      <c r="A77" s="39"/>
      <c r="B77" s="39"/>
      <c r="C77" s="39"/>
      <c r="D77" s="39"/>
      <c r="E77" s="39"/>
      <c r="F77" s="101" t="str">
        <f>MEAV!F69</f>
        <v>HV</v>
      </c>
      <c r="G77" s="101" t="str">
        <f>MEAV!G69</f>
        <v>%</v>
      </c>
      <c r="H77" s="146">
        <f>MEAV!H69</f>
        <v>0.13148746175802342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3" t="str">
        <f>MEAV!F70</f>
        <v>EHV and 132kV</v>
      </c>
      <c r="G78" s="103" t="str">
        <f>MEAV!G70</f>
        <v>%</v>
      </c>
      <c r="H78" s="150">
        <f>MEAV!H70</f>
        <v>0.37688402427627654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39"/>
    </row>
    <row r="80" spans="1:46" x14ac:dyDescent="0.25">
      <c r="A80" s="39"/>
      <c r="B80" s="39"/>
      <c r="C80" s="39"/>
      <c r="D80" s="39"/>
      <c r="E80" s="98" t="str">
        <f>MEAV!E136</f>
        <v>Share of total adjusted MEAV, by network level</v>
      </c>
      <c r="F80" s="39"/>
      <c r="G80" s="39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39"/>
    </row>
    <row r="81" spans="1:46" x14ac:dyDescent="0.25">
      <c r="A81" s="39"/>
      <c r="B81" s="39"/>
      <c r="C81" s="39"/>
      <c r="D81" s="39"/>
      <c r="E81" s="39"/>
      <c r="F81" s="99" t="str">
        <f>MEAV!F137</f>
        <v>LV services</v>
      </c>
      <c r="G81" s="99" t="str">
        <f>MEAV!G137</f>
        <v>%</v>
      </c>
      <c r="H81" s="149">
        <f>MEAV!H137</f>
        <v>0.24670276689370049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101" t="str">
        <f>MEAV!F138</f>
        <v>LV mains</v>
      </c>
      <c r="G82" s="101" t="str">
        <f>MEAV!G138</f>
        <v>%</v>
      </c>
      <c r="H82" s="146">
        <f>MEAV!H138</f>
        <v>0.23605617834388692</v>
      </c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65"/>
      <c r="AT82" s="39"/>
    </row>
    <row r="83" spans="1:46" x14ac:dyDescent="0.25">
      <c r="A83" s="39"/>
      <c r="B83" s="39"/>
      <c r="C83" s="39"/>
      <c r="D83" s="39"/>
      <c r="E83" s="39"/>
      <c r="F83" s="101" t="str">
        <f>MEAV!F139</f>
        <v>HV/LV</v>
      </c>
      <c r="G83" s="101" t="str">
        <f>MEAV!G139</f>
        <v>%</v>
      </c>
      <c r="H83" s="146">
        <f>MEAV!H139</f>
        <v>3.7392691235527846E-2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65"/>
      <c r="AT83" s="39"/>
    </row>
    <row r="84" spans="1:46" x14ac:dyDescent="0.25">
      <c r="A84" s="39"/>
      <c r="B84" s="39"/>
      <c r="C84" s="39"/>
      <c r="D84" s="39"/>
      <c r="E84" s="39"/>
      <c r="F84" s="101" t="str">
        <f>MEAV!F140</f>
        <v>HV</v>
      </c>
      <c r="G84" s="101" t="str">
        <f>MEAV!G140</f>
        <v>%</v>
      </c>
      <c r="H84" s="146">
        <f>MEAV!H140</f>
        <v>0.13911605300807214</v>
      </c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65"/>
      <c r="AT84" s="39"/>
    </row>
    <row r="85" spans="1:46" x14ac:dyDescent="0.25">
      <c r="A85" s="39"/>
      <c r="B85" s="39"/>
      <c r="C85" s="39"/>
      <c r="D85" s="39"/>
      <c r="E85" s="39"/>
      <c r="F85" s="103" t="str">
        <f>MEAV!F141</f>
        <v>EHV and 132kV</v>
      </c>
      <c r="G85" s="103" t="str">
        <f>MEAV!G141</f>
        <v>%</v>
      </c>
      <c r="H85" s="150">
        <f>MEAV!H141</f>
        <v>0.34073231051881259</v>
      </c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65"/>
      <c r="AT85" s="39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6" t="s">
        <v>626</v>
      </c>
      <c r="D87" s="96"/>
      <c r="E87" s="96"/>
      <c r="F87" s="96"/>
      <c r="G87" s="96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6"/>
    </row>
    <row r="88" spans="1:46" x14ac:dyDescent="0.25">
      <c r="A88" s="39"/>
      <c r="B88" s="39"/>
      <c r="C88" s="95"/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107"/>
      <c r="B89" s="39"/>
      <c r="C89" s="39"/>
      <c r="D89" s="95"/>
      <c r="E89" s="98" t="s">
        <v>355</v>
      </c>
      <c r="F89" s="39"/>
      <c r="G89" s="39"/>
      <c r="H89" s="65"/>
      <c r="I89" s="112" t="s">
        <v>314</v>
      </c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101" t="s">
        <v>569</v>
      </c>
    </row>
    <row r="90" spans="1:46" x14ac:dyDescent="0.25">
      <c r="A90" s="39"/>
      <c r="B90" s="39"/>
      <c r="C90" s="39"/>
      <c r="D90" s="39"/>
      <c r="E90" s="39"/>
      <c r="F90" s="99" t="s">
        <v>193</v>
      </c>
      <c r="G90" s="99" t="str">
        <f>G$19</f>
        <v>£ per year</v>
      </c>
      <c r="H90" s="125"/>
      <c r="I90" s="125"/>
      <c r="J90" s="143">
        <f t="shared" ref="J90:AQ90" si="42">J$69 * $H74</f>
        <v>0</v>
      </c>
      <c r="K90" s="143">
        <f t="shared" si="42"/>
        <v>945143.34500422503</v>
      </c>
      <c r="L90" s="143">
        <f t="shared" si="42"/>
        <v>534016.3116760375</v>
      </c>
      <c r="M90" s="143">
        <f t="shared" si="42"/>
        <v>-56291.519481179246</v>
      </c>
      <c r="N90" s="143">
        <f t="shared" si="42"/>
        <v>399833.23156091094</v>
      </c>
      <c r="O90" s="143">
        <f t="shared" si="42"/>
        <v>-936397.09105113579</v>
      </c>
      <c r="P90" s="143">
        <f t="shared" si="42"/>
        <v>180679.80649378203</v>
      </c>
      <c r="Q90" s="143">
        <f t="shared" si="42"/>
        <v>1311279.5538711445</v>
      </c>
      <c r="R90" s="143">
        <f t="shared" si="42"/>
        <v>978465.87404156779</v>
      </c>
      <c r="S90" s="143">
        <f t="shared" si="42"/>
        <v>5454471.2005411116</v>
      </c>
      <c r="T90" s="143">
        <f t="shared" si="42"/>
        <v>931128.19434099342</v>
      </c>
      <c r="U90" s="143">
        <f t="shared" si="42"/>
        <v>429762.86644016148</v>
      </c>
      <c r="V90" s="143">
        <f t="shared" si="42"/>
        <v>335650.69918323075</v>
      </c>
      <c r="W90" s="143">
        <f t="shared" si="42"/>
        <v>317835.79193394189</v>
      </c>
      <c r="X90" s="143">
        <f t="shared" si="42"/>
        <v>1268456.8642590083</v>
      </c>
      <c r="Y90" s="143">
        <f t="shared" si="42"/>
        <v>0</v>
      </c>
      <c r="Z90" s="143">
        <f t="shared" si="42"/>
        <v>0</v>
      </c>
      <c r="AA90" s="143">
        <f t="shared" si="42"/>
        <v>320064.07867296273</v>
      </c>
      <c r="AB90" s="143">
        <f t="shared" si="42"/>
        <v>457363.31753613724</v>
      </c>
      <c r="AC90" s="143">
        <f t="shared" si="42"/>
        <v>1814488.5695949553</v>
      </c>
      <c r="AD90" s="143">
        <f t="shared" si="42"/>
        <v>358331.97111971508</v>
      </c>
      <c r="AE90" s="143">
        <f t="shared" si="42"/>
        <v>0</v>
      </c>
      <c r="AF90" s="143">
        <f t="shared" si="42"/>
        <v>0</v>
      </c>
      <c r="AG90" s="143">
        <f t="shared" si="42"/>
        <v>0</v>
      </c>
      <c r="AH90" s="143">
        <f t="shared" si="42"/>
        <v>0</v>
      </c>
      <c r="AI90" s="143">
        <f t="shared" si="42"/>
        <v>0</v>
      </c>
      <c r="AJ90" s="143">
        <f t="shared" si="42"/>
        <v>0</v>
      </c>
      <c r="AK90" s="143">
        <f t="shared" si="42"/>
        <v>0</v>
      </c>
      <c r="AL90" s="143">
        <f t="shared" si="42"/>
        <v>0</v>
      </c>
      <c r="AM90" s="143">
        <f t="shared" si="42"/>
        <v>0</v>
      </c>
      <c r="AN90" s="143">
        <f t="shared" si="42"/>
        <v>0</v>
      </c>
      <c r="AO90" s="143">
        <f t="shared" si="42"/>
        <v>0</v>
      </c>
      <c r="AP90" s="143">
        <f t="shared" ref="AP90" si="43">AP$69 * $H74</f>
        <v>0</v>
      </c>
      <c r="AQ90" s="143">
        <f t="shared" si="42"/>
        <v>0</v>
      </c>
      <c r="AR90" s="143">
        <f t="shared" ref="AR90" si="44">AR$69 * $H74</f>
        <v>0</v>
      </c>
      <c r="AS90" s="65"/>
      <c r="AT90" s="39"/>
    </row>
    <row r="91" spans="1:46" x14ac:dyDescent="0.25">
      <c r="A91" s="39"/>
      <c r="B91" s="39"/>
      <c r="C91" s="39"/>
      <c r="D91" s="39"/>
      <c r="E91" s="39"/>
      <c r="F91" s="101" t="s">
        <v>194</v>
      </c>
      <c r="G91" s="101" t="str">
        <f>G$19</f>
        <v>£ per year</v>
      </c>
      <c r="H91" s="110"/>
      <c r="I91" s="110"/>
      <c r="J91" s="144">
        <f t="shared" ref="J91:AQ91" si="45">J$69 * $H75</f>
        <v>0</v>
      </c>
      <c r="K91" s="144">
        <f t="shared" si="45"/>
        <v>904355.1834381643</v>
      </c>
      <c r="L91" s="144">
        <f t="shared" si="45"/>
        <v>510970.55495068419</v>
      </c>
      <c r="M91" s="144">
        <f t="shared" si="45"/>
        <v>-53862.229148095299</v>
      </c>
      <c r="N91" s="144">
        <f t="shared" si="45"/>
        <v>382578.21671624348</v>
      </c>
      <c r="O91" s="144">
        <f t="shared" si="45"/>
        <v>-895986.37870610808</v>
      </c>
      <c r="P91" s="144">
        <f t="shared" si="45"/>
        <v>172882.47376330607</v>
      </c>
      <c r="Q91" s="144">
        <f t="shared" si="45"/>
        <v>1254690.5903194526</v>
      </c>
      <c r="R91" s="144">
        <f t="shared" si="45"/>
        <v>936239.66108854127</v>
      </c>
      <c r="S91" s="144">
        <f t="shared" si="45"/>
        <v>5219080.607398754</v>
      </c>
      <c r="T91" s="144">
        <f t="shared" si="45"/>
        <v>890944.86402370175</v>
      </c>
      <c r="U91" s="144">
        <f t="shared" si="45"/>
        <v>411216.22235266987</v>
      </c>
      <c r="V91" s="144">
        <f t="shared" si="45"/>
        <v>321165.51551197964</v>
      </c>
      <c r="W91" s="144">
        <f t="shared" si="45"/>
        <v>304119.42001913936</v>
      </c>
      <c r="X91" s="144">
        <f t="shared" si="45"/>
        <v>1213715.9365548156</v>
      </c>
      <c r="Y91" s="144">
        <f t="shared" si="45"/>
        <v>0</v>
      </c>
      <c r="Z91" s="144">
        <f t="shared" si="45"/>
        <v>0</v>
      </c>
      <c r="AA91" s="144">
        <f t="shared" si="45"/>
        <v>306251.54386392079</v>
      </c>
      <c r="AB91" s="144">
        <f t="shared" si="45"/>
        <v>437625.56136543694</v>
      </c>
      <c r="AC91" s="144">
        <f t="shared" si="45"/>
        <v>1736183.3544891148</v>
      </c>
      <c r="AD91" s="144">
        <f t="shared" si="45"/>
        <v>342867.96514689561</v>
      </c>
      <c r="AE91" s="144">
        <f t="shared" si="45"/>
        <v>0</v>
      </c>
      <c r="AF91" s="144">
        <f t="shared" si="45"/>
        <v>0</v>
      </c>
      <c r="AG91" s="144">
        <f t="shared" si="45"/>
        <v>0</v>
      </c>
      <c r="AH91" s="144">
        <f t="shared" si="45"/>
        <v>0</v>
      </c>
      <c r="AI91" s="144">
        <f t="shared" si="45"/>
        <v>0</v>
      </c>
      <c r="AJ91" s="144">
        <f t="shared" si="45"/>
        <v>0</v>
      </c>
      <c r="AK91" s="144">
        <f t="shared" si="45"/>
        <v>0</v>
      </c>
      <c r="AL91" s="144">
        <f t="shared" si="45"/>
        <v>0</v>
      </c>
      <c r="AM91" s="144">
        <f t="shared" si="45"/>
        <v>0</v>
      </c>
      <c r="AN91" s="144">
        <f t="shared" si="45"/>
        <v>0</v>
      </c>
      <c r="AO91" s="144">
        <f t="shared" si="45"/>
        <v>0</v>
      </c>
      <c r="AP91" s="144">
        <f t="shared" ref="AP91" si="46">AP$69 * $H75</f>
        <v>0</v>
      </c>
      <c r="AQ91" s="144">
        <f t="shared" si="45"/>
        <v>0</v>
      </c>
      <c r="AR91" s="144">
        <f t="shared" ref="AR91" si="47">AR$69 * $H75</f>
        <v>0</v>
      </c>
      <c r="AS91" s="65"/>
      <c r="AT91" s="39"/>
    </row>
    <row r="92" spans="1:46" x14ac:dyDescent="0.25">
      <c r="A92" s="39"/>
      <c r="B92" s="39"/>
      <c r="C92" s="39"/>
      <c r="D92" s="39"/>
      <c r="E92" s="39"/>
      <c r="F92" s="101" t="s">
        <v>41</v>
      </c>
      <c r="G92" s="101" t="str">
        <f>G$19</f>
        <v>£ per year</v>
      </c>
      <c r="H92" s="110"/>
      <c r="I92" s="110"/>
      <c r="J92" s="144">
        <f t="shared" ref="J92:AQ92" si="48">J$69 * $H76</f>
        <v>0</v>
      </c>
      <c r="K92" s="144">
        <f t="shared" si="48"/>
        <v>143255.19619439417</v>
      </c>
      <c r="L92" s="144">
        <f t="shared" si="48"/>
        <v>80940.750315303259</v>
      </c>
      <c r="M92" s="144">
        <f t="shared" si="48"/>
        <v>-8532.0948509888167</v>
      </c>
      <c r="N92" s="144">
        <f t="shared" si="48"/>
        <v>60602.646503362826</v>
      </c>
      <c r="O92" s="144">
        <f t="shared" si="48"/>
        <v>-141929.52815405032</v>
      </c>
      <c r="P92" s="144">
        <f t="shared" si="48"/>
        <v>27385.603744071454</v>
      </c>
      <c r="Q92" s="144">
        <f t="shared" si="48"/>
        <v>198750.39140720898</v>
      </c>
      <c r="R92" s="144">
        <f t="shared" si="48"/>
        <v>148305.88555296612</v>
      </c>
      <c r="S92" s="144">
        <f t="shared" si="48"/>
        <v>826733.15756849211</v>
      </c>
      <c r="T92" s="144">
        <f t="shared" si="48"/>
        <v>141130.92248653006</v>
      </c>
      <c r="U92" s="144">
        <f t="shared" si="48"/>
        <v>65139.07554274251</v>
      </c>
      <c r="V92" s="144">
        <f t="shared" si="48"/>
        <v>50874.512335548803</v>
      </c>
      <c r="W92" s="144">
        <f t="shared" si="48"/>
        <v>48174.310248033289</v>
      </c>
      <c r="X92" s="144">
        <f t="shared" si="48"/>
        <v>192259.76452570583</v>
      </c>
      <c r="Y92" s="144">
        <f t="shared" si="48"/>
        <v>0</v>
      </c>
      <c r="Z92" s="144">
        <f t="shared" si="48"/>
        <v>0</v>
      </c>
      <c r="AA92" s="144">
        <f t="shared" si="48"/>
        <v>48512.051243262285</v>
      </c>
      <c r="AB92" s="144">
        <f t="shared" si="48"/>
        <v>69322.470641176085</v>
      </c>
      <c r="AC92" s="144">
        <f t="shared" si="48"/>
        <v>275021.68576201424</v>
      </c>
      <c r="AD92" s="144">
        <f t="shared" si="48"/>
        <v>54312.30838878658</v>
      </c>
      <c r="AE92" s="144">
        <f t="shared" si="48"/>
        <v>0</v>
      </c>
      <c r="AF92" s="144">
        <f t="shared" si="48"/>
        <v>0</v>
      </c>
      <c r="AG92" s="144">
        <f t="shared" si="48"/>
        <v>0</v>
      </c>
      <c r="AH92" s="144">
        <f t="shared" si="48"/>
        <v>0</v>
      </c>
      <c r="AI92" s="144">
        <f t="shared" si="48"/>
        <v>0</v>
      </c>
      <c r="AJ92" s="144">
        <f t="shared" si="48"/>
        <v>0</v>
      </c>
      <c r="AK92" s="144">
        <f t="shared" si="48"/>
        <v>0</v>
      </c>
      <c r="AL92" s="144">
        <f t="shared" si="48"/>
        <v>0</v>
      </c>
      <c r="AM92" s="144">
        <f t="shared" si="48"/>
        <v>0</v>
      </c>
      <c r="AN92" s="144">
        <f t="shared" si="48"/>
        <v>0</v>
      </c>
      <c r="AO92" s="144">
        <f t="shared" si="48"/>
        <v>0</v>
      </c>
      <c r="AP92" s="144">
        <f t="shared" ref="AP92" si="49">AP$69 * $H76</f>
        <v>0</v>
      </c>
      <c r="AQ92" s="144">
        <f t="shared" si="48"/>
        <v>0</v>
      </c>
      <c r="AR92" s="144">
        <f t="shared" ref="AR92" si="50">AR$69 * $H76</f>
        <v>0</v>
      </c>
      <c r="AS92" s="65"/>
      <c r="AT92" s="39"/>
    </row>
    <row r="93" spans="1:46" x14ac:dyDescent="0.25">
      <c r="A93" s="39"/>
      <c r="B93" s="39"/>
      <c r="C93" s="39"/>
      <c r="D93" s="39"/>
      <c r="E93" s="39"/>
      <c r="F93" s="101" t="s">
        <v>40</v>
      </c>
      <c r="G93" s="101" t="str">
        <f>G$19</f>
        <v>£ per year</v>
      </c>
      <c r="H93" s="110"/>
      <c r="I93" s="110"/>
      <c r="J93" s="144">
        <f t="shared" ref="J93:AQ93" si="51">J$69 * $H77</f>
        <v>0</v>
      </c>
      <c r="K93" s="144">
        <f t="shared" si="51"/>
        <v>532967.72200568218</v>
      </c>
      <c r="L93" s="144">
        <f t="shared" si="51"/>
        <v>301132.58338245167</v>
      </c>
      <c r="M93" s="144">
        <f t="shared" si="51"/>
        <v>-31742.870607620342</v>
      </c>
      <c r="N93" s="144">
        <f t="shared" si="51"/>
        <v>225466.5472000298</v>
      </c>
      <c r="O93" s="144">
        <f t="shared" si="51"/>
        <v>-528035.69654086733</v>
      </c>
      <c r="P93" s="144">
        <f t="shared" si="51"/>
        <v>101885.60855706815</v>
      </c>
      <c r="Q93" s="144">
        <f t="shared" si="51"/>
        <v>739432.4685597897</v>
      </c>
      <c r="R93" s="144">
        <f t="shared" si="51"/>
        <v>551758.34512795729</v>
      </c>
      <c r="S93" s="144">
        <f t="shared" si="51"/>
        <v>3075784.3303493815</v>
      </c>
      <c r="T93" s="144">
        <f t="shared" si="51"/>
        <v>525064.55793852627</v>
      </c>
      <c r="U93" s="144">
        <f t="shared" si="51"/>
        <v>242343.91231757676</v>
      </c>
      <c r="V93" s="144">
        <f t="shared" si="51"/>
        <v>189273.92281696838</v>
      </c>
      <c r="W93" s="144">
        <f t="shared" si="51"/>
        <v>179228.07042369616</v>
      </c>
      <c r="X93" s="144">
        <f t="shared" si="51"/>
        <v>715284.69092016132</v>
      </c>
      <c r="Y93" s="144">
        <f t="shared" si="51"/>
        <v>0</v>
      </c>
      <c r="Z93" s="144">
        <f t="shared" si="51"/>
        <v>0</v>
      </c>
      <c r="AA93" s="144">
        <f t="shared" si="51"/>
        <v>180484.60459234766</v>
      </c>
      <c r="AB93" s="144">
        <f t="shared" si="51"/>
        <v>257907.84727485638</v>
      </c>
      <c r="AC93" s="144">
        <f t="shared" si="51"/>
        <v>1023192.7724551127</v>
      </c>
      <c r="AD93" s="144">
        <f t="shared" si="51"/>
        <v>202063.92541295072</v>
      </c>
      <c r="AE93" s="144">
        <f t="shared" si="51"/>
        <v>0</v>
      </c>
      <c r="AF93" s="144">
        <f t="shared" si="51"/>
        <v>0</v>
      </c>
      <c r="AG93" s="144">
        <f t="shared" si="51"/>
        <v>0</v>
      </c>
      <c r="AH93" s="144">
        <f t="shared" si="51"/>
        <v>0</v>
      </c>
      <c r="AI93" s="144">
        <f t="shared" si="51"/>
        <v>0</v>
      </c>
      <c r="AJ93" s="144">
        <f t="shared" si="51"/>
        <v>0</v>
      </c>
      <c r="AK93" s="144">
        <f t="shared" si="51"/>
        <v>0</v>
      </c>
      <c r="AL93" s="144">
        <f t="shared" si="51"/>
        <v>0</v>
      </c>
      <c r="AM93" s="144">
        <f t="shared" si="51"/>
        <v>0</v>
      </c>
      <c r="AN93" s="144">
        <f t="shared" si="51"/>
        <v>0</v>
      </c>
      <c r="AO93" s="144">
        <f t="shared" si="51"/>
        <v>0</v>
      </c>
      <c r="AP93" s="144">
        <f t="shared" ref="AP93" si="52">AP$69 * $H77</f>
        <v>0</v>
      </c>
      <c r="AQ93" s="144">
        <f t="shared" si="51"/>
        <v>0</v>
      </c>
      <c r="AR93" s="144">
        <f t="shared" ref="AR93" si="53">AR$69 * $H77</f>
        <v>0</v>
      </c>
      <c r="AS93" s="65"/>
      <c r="AT93" s="39"/>
    </row>
    <row r="94" spans="1:46" x14ac:dyDescent="0.25">
      <c r="A94" s="39"/>
      <c r="B94" s="39"/>
      <c r="C94" s="39"/>
      <c r="D94" s="39"/>
      <c r="E94" s="39"/>
      <c r="F94" s="103" t="s">
        <v>166</v>
      </c>
      <c r="G94" s="103" t="str">
        <f>G$19</f>
        <v>£ per year</v>
      </c>
      <c r="H94" s="126"/>
      <c r="I94" s="127"/>
      <c r="J94" s="145">
        <f t="shared" ref="J94:AQ94" si="54">J$69 * $H78</f>
        <v>0</v>
      </c>
      <c r="K94" s="145">
        <f t="shared" si="54"/>
        <v>1527651.5128759367</v>
      </c>
      <c r="L94" s="145">
        <f t="shared" si="54"/>
        <v>863139.78799552319</v>
      </c>
      <c r="M94" s="145">
        <f t="shared" si="54"/>
        <v>-90984.955194414797</v>
      </c>
      <c r="N94" s="145">
        <f t="shared" si="54"/>
        <v>646257.35801945464</v>
      </c>
      <c r="O94" s="145">
        <f t="shared" si="54"/>
        <v>-1513514.7915478356</v>
      </c>
      <c r="P94" s="145">
        <f t="shared" si="54"/>
        <v>292035.89190497209</v>
      </c>
      <c r="Q94" s="145">
        <f t="shared" si="54"/>
        <v>2119443.7911061868</v>
      </c>
      <c r="R94" s="145">
        <f t="shared" si="54"/>
        <v>1581511.2920997129</v>
      </c>
      <c r="S94" s="145">
        <f t="shared" si="54"/>
        <v>8816156.0100786686</v>
      </c>
      <c r="T94" s="145">
        <f t="shared" si="54"/>
        <v>1504998.5827917978</v>
      </c>
      <c r="U94" s="145">
        <f t="shared" si="54"/>
        <v>694633.14381404966</v>
      </c>
      <c r="V94" s="145">
        <f t="shared" si="54"/>
        <v>542518.02238827199</v>
      </c>
      <c r="W94" s="145">
        <f t="shared" si="54"/>
        <v>513723.48010537733</v>
      </c>
      <c r="X94" s="145">
        <f t="shared" si="54"/>
        <v>2050228.7382603094</v>
      </c>
      <c r="Y94" s="145">
        <f t="shared" si="54"/>
        <v>0</v>
      </c>
      <c r="Z94" s="145">
        <f t="shared" si="54"/>
        <v>0</v>
      </c>
      <c r="AA94" s="145">
        <f t="shared" si="54"/>
        <v>517325.09844822384</v>
      </c>
      <c r="AB94" s="145">
        <f t="shared" si="54"/>
        <v>739244.22963049496</v>
      </c>
      <c r="AC94" s="145">
        <f t="shared" si="54"/>
        <v>2932789.2145560593</v>
      </c>
      <c r="AD94" s="145">
        <f t="shared" si="54"/>
        <v>579178.1539660549</v>
      </c>
      <c r="AE94" s="145">
        <f t="shared" si="54"/>
        <v>0</v>
      </c>
      <c r="AF94" s="145">
        <f t="shared" si="54"/>
        <v>0</v>
      </c>
      <c r="AG94" s="145">
        <f t="shared" si="54"/>
        <v>0</v>
      </c>
      <c r="AH94" s="145">
        <f t="shared" si="54"/>
        <v>0</v>
      </c>
      <c r="AI94" s="145">
        <f t="shared" si="54"/>
        <v>0</v>
      </c>
      <c r="AJ94" s="145">
        <f t="shared" si="54"/>
        <v>0</v>
      </c>
      <c r="AK94" s="145">
        <f t="shared" si="54"/>
        <v>0</v>
      </c>
      <c r="AL94" s="145">
        <f t="shared" si="54"/>
        <v>0</v>
      </c>
      <c r="AM94" s="145">
        <f t="shared" si="54"/>
        <v>0</v>
      </c>
      <c r="AN94" s="145">
        <f t="shared" si="54"/>
        <v>0</v>
      </c>
      <c r="AO94" s="145">
        <f t="shared" si="54"/>
        <v>0</v>
      </c>
      <c r="AP94" s="145">
        <f t="shared" ref="AP94" si="55">AP$69 * $H78</f>
        <v>0</v>
      </c>
      <c r="AQ94" s="145">
        <f t="shared" si="54"/>
        <v>0</v>
      </c>
      <c r="AR94" s="145">
        <f t="shared" ref="AR94" si="56">AR$69 * $H78</f>
        <v>0</v>
      </c>
      <c r="AS94" s="65"/>
      <c r="AT94" s="39"/>
    </row>
    <row r="95" spans="1:46" x14ac:dyDescent="0.25">
      <c r="A95" s="39"/>
      <c r="B95" s="39"/>
      <c r="C95" s="39"/>
      <c r="D95" s="39"/>
      <c r="E95" s="39"/>
      <c r="F95" s="39"/>
      <c r="G95" s="39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39"/>
    </row>
    <row r="96" spans="1:46" x14ac:dyDescent="0.25">
      <c r="A96" s="107"/>
      <c r="B96" s="39"/>
      <c r="C96" s="39"/>
      <c r="D96" s="39"/>
      <c r="E96" s="98" t="s">
        <v>356</v>
      </c>
      <c r="F96" s="39"/>
      <c r="G96" s="39"/>
      <c r="H96" s="65"/>
      <c r="I96" s="112" t="s">
        <v>314</v>
      </c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101" t="s">
        <v>569</v>
      </c>
    </row>
    <row r="97" spans="1:46" x14ac:dyDescent="0.25">
      <c r="A97" s="39"/>
      <c r="B97" s="39"/>
      <c r="C97" s="39"/>
      <c r="D97" s="39"/>
      <c r="E97" s="39"/>
      <c r="F97" s="99" t="s">
        <v>193</v>
      </c>
      <c r="G97" s="99" t="str">
        <f>G$19</f>
        <v>£ per year</v>
      </c>
      <c r="H97" s="125"/>
      <c r="I97" s="125"/>
      <c r="J97" s="143">
        <f t="shared" ref="J97:AQ97" si="57">J$69 * $H81</f>
        <v>0</v>
      </c>
      <c r="K97" s="143">
        <f t="shared" si="57"/>
        <v>999978.32436529745</v>
      </c>
      <c r="L97" s="143">
        <f t="shared" si="57"/>
        <v>564998.67385846458</v>
      </c>
      <c r="M97" s="143">
        <f t="shared" si="57"/>
        <v>-59557.420177903798</v>
      </c>
      <c r="N97" s="143">
        <f t="shared" si="57"/>
        <v>423030.60909777065</v>
      </c>
      <c r="O97" s="143">
        <f t="shared" si="57"/>
        <v>-990724.63346358086</v>
      </c>
      <c r="P97" s="143">
        <f t="shared" si="57"/>
        <v>191162.42112828998</v>
      </c>
      <c r="Q97" s="143">
        <f t="shared" si="57"/>
        <v>1387356.8892861223</v>
      </c>
      <c r="R97" s="143">
        <f t="shared" si="57"/>
        <v>1035234.1476502056</v>
      </c>
      <c r="S97" s="143">
        <f t="shared" si="57"/>
        <v>5770926.7067753524</v>
      </c>
      <c r="T97" s="143">
        <f t="shared" si="57"/>
        <v>985150.04783981142</v>
      </c>
      <c r="U97" s="143">
        <f t="shared" si="57"/>
        <v>454696.69053781329</v>
      </c>
      <c r="V97" s="143">
        <f t="shared" si="57"/>
        <v>355124.3581361589</v>
      </c>
      <c r="W97" s="143">
        <f t="shared" si="57"/>
        <v>336275.87214297085</v>
      </c>
      <c r="X97" s="143">
        <f t="shared" si="57"/>
        <v>1342049.7286003875</v>
      </c>
      <c r="Y97" s="143">
        <f t="shared" si="57"/>
        <v>0</v>
      </c>
      <c r="Z97" s="143">
        <f t="shared" si="57"/>
        <v>0</v>
      </c>
      <c r="AA97" s="143">
        <f t="shared" si="57"/>
        <v>338633.43880338199</v>
      </c>
      <c r="AB97" s="143">
        <f t="shared" si="57"/>
        <v>483898.45446554513</v>
      </c>
      <c r="AC97" s="143">
        <f t="shared" si="57"/>
        <v>1919760.9008138736</v>
      </c>
      <c r="AD97" s="143">
        <f t="shared" si="57"/>
        <v>379121.5437751456</v>
      </c>
      <c r="AE97" s="143">
        <f t="shared" si="57"/>
        <v>0</v>
      </c>
      <c r="AF97" s="143">
        <f t="shared" si="57"/>
        <v>0</v>
      </c>
      <c r="AG97" s="143">
        <f t="shared" si="57"/>
        <v>0</v>
      </c>
      <c r="AH97" s="143">
        <f t="shared" si="57"/>
        <v>0</v>
      </c>
      <c r="AI97" s="143">
        <f t="shared" si="57"/>
        <v>0</v>
      </c>
      <c r="AJ97" s="143">
        <f t="shared" si="57"/>
        <v>0</v>
      </c>
      <c r="AK97" s="143">
        <f t="shared" si="57"/>
        <v>0</v>
      </c>
      <c r="AL97" s="143">
        <f t="shared" si="57"/>
        <v>0</v>
      </c>
      <c r="AM97" s="143">
        <f t="shared" si="57"/>
        <v>0</v>
      </c>
      <c r="AN97" s="143">
        <f t="shared" si="57"/>
        <v>0</v>
      </c>
      <c r="AO97" s="143">
        <f t="shared" si="57"/>
        <v>0</v>
      </c>
      <c r="AP97" s="143">
        <f t="shared" ref="AP97" si="58">AP$69 * $H81</f>
        <v>0</v>
      </c>
      <c r="AQ97" s="143">
        <f t="shared" si="57"/>
        <v>0</v>
      </c>
      <c r="AR97" s="143">
        <f t="shared" ref="AR97" si="59">AR$69 * $H81</f>
        <v>0</v>
      </c>
      <c r="AS97" s="65"/>
      <c r="AT97" s="39"/>
    </row>
    <row r="98" spans="1:46" x14ac:dyDescent="0.25">
      <c r="A98" s="39"/>
      <c r="B98" s="39"/>
      <c r="C98" s="39"/>
      <c r="D98" s="39"/>
      <c r="E98" s="39"/>
      <c r="F98" s="101" t="s">
        <v>194</v>
      </c>
      <c r="G98" s="101" t="str">
        <f>G$19</f>
        <v>£ per year</v>
      </c>
      <c r="H98" s="110"/>
      <c r="I98" s="110"/>
      <c r="J98" s="144">
        <f t="shared" ref="J98:AQ98" si="60">J$69 * $H82</f>
        <v>0</v>
      </c>
      <c r="K98" s="144">
        <f t="shared" si="60"/>
        <v>956823.7302263648</v>
      </c>
      <c r="L98" s="144">
        <f t="shared" si="60"/>
        <v>540615.85688603367</v>
      </c>
      <c r="M98" s="144">
        <f t="shared" si="60"/>
        <v>-56987.188170754402</v>
      </c>
      <c r="N98" s="144">
        <f t="shared" si="60"/>
        <v>404774.49914104043</v>
      </c>
      <c r="O98" s="144">
        <f t="shared" si="60"/>
        <v>-947969.38725591893</v>
      </c>
      <c r="P98" s="144">
        <f t="shared" si="60"/>
        <v>182912.705612063</v>
      </c>
      <c r="Q98" s="144">
        <f t="shared" si="60"/>
        <v>1327484.7680368985</v>
      </c>
      <c r="R98" s="144">
        <f t="shared" si="60"/>
        <v>990558.06978725351</v>
      </c>
      <c r="S98" s="144">
        <f t="shared" si="60"/>
        <v>5521879.3086785106</v>
      </c>
      <c r="T98" s="144">
        <f t="shared" si="60"/>
        <v>942635.37582683435</v>
      </c>
      <c r="U98" s="144">
        <f t="shared" si="60"/>
        <v>435074.01406737108</v>
      </c>
      <c r="V98" s="144">
        <f t="shared" si="60"/>
        <v>339798.77840027609</v>
      </c>
      <c r="W98" s="144">
        <f t="shared" si="60"/>
        <v>321763.70880157402</v>
      </c>
      <c r="X98" s="144">
        <f t="shared" si="60"/>
        <v>1284132.8618635267</v>
      </c>
      <c r="Y98" s="144">
        <f t="shared" si="60"/>
        <v>0</v>
      </c>
      <c r="Z98" s="144">
        <f t="shared" si="60"/>
        <v>0</v>
      </c>
      <c r="AA98" s="144">
        <f t="shared" si="60"/>
        <v>324019.53342427639</v>
      </c>
      <c r="AB98" s="144">
        <f t="shared" si="60"/>
        <v>463015.56040864467</v>
      </c>
      <c r="AC98" s="144">
        <f t="shared" si="60"/>
        <v>1836912.6025060094</v>
      </c>
      <c r="AD98" s="144">
        <f t="shared" si="60"/>
        <v>362760.35278500448</v>
      </c>
      <c r="AE98" s="144">
        <f t="shared" si="60"/>
        <v>0</v>
      </c>
      <c r="AF98" s="144">
        <f t="shared" si="60"/>
        <v>0</v>
      </c>
      <c r="AG98" s="144">
        <f t="shared" si="60"/>
        <v>0</v>
      </c>
      <c r="AH98" s="144">
        <f t="shared" si="60"/>
        <v>0</v>
      </c>
      <c r="AI98" s="144">
        <f t="shared" si="60"/>
        <v>0</v>
      </c>
      <c r="AJ98" s="144">
        <f t="shared" si="60"/>
        <v>0</v>
      </c>
      <c r="AK98" s="144">
        <f t="shared" si="60"/>
        <v>0</v>
      </c>
      <c r="AL98" s="144">
        <f t="shared" si="60"/>
        <v>0</v>
      </c>
      <c r="AM98" s="144">
        <f t="shared" si="60"/>
        <v>0</v>
      </c>
      <c r="AN98" s="144">
        <f t="shared" si="60"/>
        <v>0</v>
      </c>
      <c r="AO98" s="144">
        <f t="shared" si="60"/>
        <v>0</v>
      </c>
      <c r="AP98" s="144">
        <f t="shared" ref="AP98" si="61">AP$69 * $H82</f>
        <v>0</v>
      </c>
      <c r="AQ98" s="144">
        <f t="shared" si="60"/>
        <v>0</v>
      </c>
      <c r="AR98" s="144">
        <f t="shared" ref="AR98" si="62">AR$69 * $H82</f>
        <v>0</v>
      </c>
      <c r="AS98" s="65"/>
      <c r="AT98" s="39"/>
    </row>
    <row r="99" spans="1:46" x14ac:dyDescent="0.25">
      <c r="A99" s="39"/>
      <c r="B99" s="39"/>
      <c r="C99" s="39"/>
      <c r="D99" s="39"/>
      <c r="E99" s="39"/>
      <c r="F99" s="101" t="s">
        <v>41</v>
      </c>
      <c r="G99" s="101" t="str">
        <f>G$19</f>
        <v>£ per year</v>
      </c>
      <c r="H99" s="110"/>
      <c r="I99" s="110"/>
      <c r="J99" s="144">
        <f t="shared" ref="J99:AQ99" si="63">J$69 * $H83</f>
        <v>0</v>
      </c>
      <c r="K99" s="144">
        <f t="shared" si="63"/>
        <v>151566.52353770935</v>
      </c>
      <c r="L99" s="144">
        <f t="shared" si="63"/>
        <v>85636.741030859237</v>
      </c>
      <c r="M99" s="144">
        <f t="shared" si="63"/>
        <v>-9027.106795508822</v>
      </c>
      <c r="N99" s="144">
        <f t="shared" si="63"/>
        <v>64118.66858382662</v>
      </c>
      <c r="O99" s="144">
        <f t="shared" si="63"/>
        <v>-150163.94337602842</v>
      </c>
      <c r="P99" s="144">
        <f t="shared" si="63"/>
        <v>28974.451641095951</v>
      </c>
      <c r="Q99" s="144">
        <f t="shared" si="63"/>
        <v>210281.41859840255</v>
      </c>
      <c r="R99" s="144">
        <f t="shared" si="63"/>
        <v>156910.24193595067</v>
      </c>
      <c r="S99" s="144">
        <f t="shared" si="63"/>
        <v>874698.25817678112</v>
      </c>
      <c r="T99" s="144">
        <f t="shared" si="63"/>
        <v>149319.00449828393</v>
      </c>
      <c r="U99" s="144">
        <f t="shared" si="63"/>
        <v>68918.290496607151</v>
      </c>
      <c r="V99" s="144">
        <f t="shared" si="63"/>
        <v>53826.131101813269</v>
      </c>
      <c r="W99" s="144">
        <f t="shared" si="63"/>
        <v>50969.269681592006</v>
      </c>
      <c r="X99" s="144">
        <f t="shared" si="63"/>
        <v>203414.22091103287</v>
      </c>
      <c r="Y99" s="144">
        <f t="shared" si="63"/>
        <v>0</v>
      </c>
      <c r="Z99" s="144">
        <f t="shared" si="63"/>
        <v>0</v>
      </c>
      <c r="AA99" s="144">
        <f t="shared" si="63"/>
        <v>51326.605609801976</v>
      </c>
      <c r="AB99" s="144">
        <f t="shared" si="63"/>
        <v>73344.396274954357</v>
      </c>
      <c r="AC99" s="144">
        <f t="shared" si="63"/>
        <v>290977.79288832529</v>
      </c>
      <c r="AD99" s="144">
        <f t="shared" si="63"/>
        <v>57463.379943480744</v>
      </c>
      <c r="AE99" s="144">
        <f t="shared" si="63"/>
        <v>0</v>
      </c>
      <c r="AF99" s="144">
        <f t="shared" si="63"/>
        <v>0</v>
      </c>
      <c r="AG99" s="144">
        <f t="shared" si="63"/>
        <v>0</v>
      </c>
      <c r="AH99" s="144">
        <f t="shared" si="63"/>
        <v>0</v>
      </c>
      <c r="AI99" s="144">
        <f t="shared" si="63"/>
        <v>0</v>
      </c>
      <c r="AJ99" s="144">
        <f t="shared" si="63"/>
        <v>0</v>
      </c>
      <c r="AK99" s="144">
        <f t="shared" si="63"/>
        <v>0</v>
      </c>
      <c r="AL99" s="144">
        <f t="shared" si="63"/>
        <v>0</v>
      </c>
      <c r="AM99" s="144">
        <f t="shared" si="63"/>
        <v>0</v>
      </c>
      <c r="AN99" s="144">
        <f t="shared" si="63"/>
        <v>0</v>
      </c>
      <c r="AO99" s="144">
        <f t="shared" si="63"/>
        <v>0</v>
      </c>
      <c r="AP99" s="144">
        <f t="shared" ref="AP99" si="64">AP$69 * $H83</f>
        <v>0</v>
      </c>
      <c r="AQ99" s="144">
        <f t="shared" si="63"/>
        <v>0</v>
      </c>
      <c r="AR99" s="144">
        <f t="shared" ref="AR99" si="65">AR$69 * $H83</f>
        <v>0</v>
      </c>
      <c r="AS99" s="65"/>
      <c r="AT99" s="39"/>
    </row>
    <row r="100" spans="1:46" x14ac:dyDescent="0.25">
      <c r="A100" s="39"/>
      <c r="B100" s="39"/>
      <c r="C100" s="39"/>
      <c r="D100" s="39"/>
      <c r="E100" s="39"/>
      <c r="F100" s="101" t="s">
        <v>40</v>
      </c>
      <c r="G100" s="101" t="str">
        <f>G$19</f>
        <v>£ per year</v>
      </c>
      <c r="H100" s="110"/>
      <c r="I100" s="110"/>
      <c r="J100" s="144">
        <f t="shared" ref="J100:AQ100" si="66">J$69 * $H84</f>
        <v>0</v>
      </c>
      <c r="K100" s="144">
        <f t="shared" si="66"/>
        <v>563889.24749784835</v>
      </c>
      <c r="L100" s="144">
        <f t="shared" si="66"/>
        <v>318603.58297421131</v>
      </c>
      <c r="M100" s="144">
        <f t="shared" si="66"/>
        <v>-33584.51681274944</v>
      </c>
      <c r="N100" s="144">
        <f t="shared" si="66"/>
        <v>238547.58250295586</v>
      </c>
      <c r="O100" s="144">
        <f t="shared" si="66"/>
        <v>-558671.07759155706</v>
      </c>
      <c r="P100" s="144">
        <f t="shared" si="66"/>
        <v>107796.77036331475</v>
      </c>
      <c r="Q100" s="144">
        <f t="shared" si="66"/>
        <v>782332.58986594109</v>
      </c>
      <c r="R100" s="144">
        <f t="shared" si="66"/>
        <v>583770.05808908038</v>
      </c>
      <c r="S100" s="144">
        <f t="shared" si="66"/>
        <v>3254234.0556374164</v>
      </c>
      <c r="T100" s="144">
        <f t="shared" si="66"/>
        <v>555527.56056133052</v>
      </c>
      <c r="U100" s="144">
        <f t="shared" si="66"/>
        <v>256404.13238943947</v>
      </c>
      <c r="V100" s="144">
        <f t="shared" si="66"/>
        <v>200255.14773498467</v>
      </c>
      <c r="W100" s="144">
        <f t="shared" si="66"/>
        <v>189626.4587682327</v>
      </c>
      <c r="X100" s="144">
        <f t="shared" si="66"/>
        <v>756783.81533469423</v>
      </c>
      <c r="Y100" s="144">
        <f t="shared" si="66"/>
        <v>0</v>
      </c>
      <c r="Z100" s="144">
        <f t="shared" si="66"/>
        <v>0</v>
      </c>
      <c r="AA100" s="144">
        <f t="shared" si="66"/>
        <v>190955.89407465202</v>
      </c>
      <c r="AB100" s="144">
        <f t="shared" si="66"/>
        <v>272871.05000714894</v>
      </c>
      <c r="AC100" s="144">
        <f t="shared" si="66"/>
        <v>1082555.9948240155</v>
      </c>
      <c r="AD100" s="144">
        <f t="shared" si="66"/>
        <v>213787.19600275409</v>
      </c>
      <c r="AE100" s="144">
        <f t="shared" si="66"/>
        <v>0</v>
      </c>
      <c r="AF100" s="144">
        <f t="shared" si="66"/>
        <v>0</v>
      </c>
      <c r="AG100" s="144">
        <f t="shared" si="66"/>
        <v>0</v>
      </c>
      <c r="AH100" s="144">
        <f t="shared" si="66"/>
        <v>0</v>
      </c>
      <c r="AI100" s="144">
        <f t="shared" si="66"/>
        <v>0</v>
      </c>
      <c r="AJ100" s="144">
        <f t="shared" si="66"/>
        <v>0</v>
      </c>
      <c r="AK100" s="144">
        <f t="shared" si="66"/>
        <v>0</v>
      </c>
      <c r="AL100" s="144">
        <f t="shared" si="66"/>
        <v>0</v>
      </c>
      <c r="AM100" s="144">
        <f t="shared" si="66"/>
        <v>0</v>
      </c>
      <c r="AN100" s="144">
        <f t="shared" si="66"/>
        <v>0</v>
      </c>
      <c r="AO100" s="144">
        <f t="shared" si="66"/>
        <v>0</v>
      </c>
      <c r="AP100" s="144">
        <f t="shared" ref="AP100" si="67">AP$69 * $H84</f>
        <v>0</v>
      </c>
      <c r="AQ100" s="144">
        <f t="shared" si="66"/>
        <v>0</v>
      </c>
      <c r="AR100" s="144">
        <f t="shared" ref="AR100" si="68">AR$69 * $H84</f>
        <v>0</v>
      </c>
      <c r="AS100" s="65"/>
      <c r="AT100" s="39"/>
    </row>
    <row r="101" spans="1:46" x14ac:dyDescent="0.25">
      <c r="A101" s="39"/>
      <c r="B101" s="39"/>
      <c r="C101" s="39"/>
      <c r="D101" s="39"/>
      <c r="E101" s="39"/>
      <c r="F101" s="103" t="s">
        <v>166</v>
      </c>
      <c r="G101" s="103" t="str">
        <f>G$19</f>
        <v>£ per year</v>
      </c>
      <c r="H101" s="126"/>
      <c r="I101" s="127"/>
      <c r="J101" s="145">
        <f t="shared" ref="J101:AQ101" si="69">J$69 * $H85</f>
        <v>0</v>
      </c>
      <c r="K101" s="145">
        <f t="shared" si="69"/>
        <v>1381115.1338911827</v>
      </c>
      <c r="L101" s="145">
        <f t="shared" si="69"/>
        <v>780345.13357043115</v>
      </c>
      <c r="M101" s="145">
        <f t="shared" si="69"/>
        <v>-82257.437325382067</v>
      </c>
      <c r="N101" s="145">
        <f t="shared" si="69"/>
        <v>584266.64067440829</v>
      </c>
      <c r="O101" s="145">
        <f t="shared" si="69"/>
        <v>-1368334.4443129124</v>
      </c>
      <c r="P101" s="145">
        <f t="shared" si="69"/>
        <v>264023.03571843618</v>
      </c>
      <c r="Q101" s="145">
        <f t="shared" si="69"/>
        <v>1916141.1294764187</v>
      </c>
      <c r="R101" s="145">
        <f t="shared" si="69"/>
        <v>1429808.5404482556</v>
      </c>
      <c r="S101" s="145">
        <f t="shared" si="69"/>
        <v>7970486.9766683513</v>
      </c>
      <c r="T101" s="145">
        <f t="shared" si="69"/>
        <v>1360635.1328552896</v>
      </c>
      <c r="U101" s="145">
        <f t="shared" si="69"/>
        <v>628002.09297596954</v>
      </c>
      <c r="V101" s="145">
        <f t="shared" si="69"/>
        <v>490478.25686276681</v>
      </c>
      <c r="W101" s="145">
        <f t="shared" si="69"/>
        <v>464445.76333581866</v>
      </c>
      <c r="X101" s="145">
        <f t="shared" si="69"/>
        <v>1853565.3678103597</v>
      </c>
      <c r="Y101" s="145">
        <f t="shared" si="69"/>
        <v>0</v>
      </c>
      <c r="Z101" s="145">
        <f t="shared" si="69"/>
        <v>0</v>
      </c>
      <c r="AA101" s="145">
        <f t="shared" si="69"/>
        <v>467701.90490860509</v>
      </c>
      <c r="AB101" s="145">
        <f t="shared" si="69"/>
        <v>668333.96529180871</v>
      </c>
      <c r="AC101" s="145">
        <f t="shared" si="69"/>
        <v>2651468.3058250332</v>
      </c>
      <c r="AD101" s="145">
        <f t="shared" si="69"/>
        <v>523621.85152801819</v>
      </c>
      <c r="AE101" s="145">
        <f t="shared" si="69"/>
        <v>0</v>
      </c>
      <c r="AF101" s="145">
        <f t="shared" si="69"/>
        <v>0</v>
      </c>
      <c r="AG101" s="145">
        <f t="shared" si="69"/>
        <v>0</v>
      </c>
      <c r="AH101" s="145">
        <f t="shared" si="69"/>
        <v>0</v>
      </c>
      <c r="AI101" s="145">
        <f t="shared" si="69"/>
        <v>0</v>
      </c>
      <c r="AJ101" s="145">
        <f t="shared" si="69"/>
        <v>0</v>
      </c>
      <c r="AK101" s="145">
        <f t="shared" si="69"/>
        <v>0</v>
      </c>
      <c r="AL101" s="145">
        <f t="shared" si="69"/>
        <v>0</v>
      </c>
      <c r="AM101" s="145">
        <f t="shared" si="69"/>
        <v>0</v>
      </c>
      <c r="AN101" s="145">
        <f t="shared" si="69"/>
        <v>0</v>
      </c>
      <c r="AO101" s="145">
        <f t="shared" si="69"/>
        <v>0</v>
      </c>
      <c r="AP101" s="145">
        <f t="shared" ref="AP101" si="70">AP$69 * $H85</f>
        <v>0</v>
      </c>
      <c r="AQ101" s="145">
        <f t="shared" si="69"/>
        <v>0</v>
      </c>
      <c r="AR101" s="145">
        <f t="shared" ref="AR101" si="71">AR$69 * $H85</f>
        <v>0</v>
      </c>
      <c r="AS101" s="65"/>
      <c r="AT101" s="39"/>
    </row>
    <row r="102" spans="1:46" x14ac:dyDescent="0.25">
      <c r="A102" s="39"/>
      <c r="B102" s="39"/>
      <c r="C102" s="39"/>
      <c r="D102" s="39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39"/>
    </row>
    <row r="103" spans="1:46" x14ac:dyDescent="0.25">
      <c r="A103" s="39"/>
      <c r="B103" s="93" t="s">
        <v>731</v>
      </c>
      <c r="C103" s="93"/>
      <c r="D103" s="93"/>
      <c r="E103" s="93"/>
      <c r="F103" s="93"/>
      <c r="G103" s="93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3"/>
    </row>
    <row r="104" spans="1:46" x14ac:dyDescent="0.25">
      <c r="A104" s="39"/>
      <c r="B104" s="39"/>
      <c r="C104" s="39"/>
      <c r="D104" s="39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39"/>
    </row>
    <row r="105" spans="1:46" x14ac:dyDescent="0.25">
      <c r="A105" s="39"/>
      <c r="B105" s="39"/>
      <c r="C105" s="95" t="s">
        <v>732</v>
      </c>
      <c r="D105" s="95"/>
      <c r="E105" s="39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39"/>
    </row>
    <row r="106" spans="1:46" x14ac:dyDescent="0.25">
      <c r="A106" s="39"/>
      <c r="B106" s="39"/>
      <c r="C106" s="95"/>
      <c r="D106" s="95"/>
      <c r="E106" s="39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39"/>
    </row>
    <row r="107" spans="1:46" x14ac:dyDescent="0.25">
      <c r="A107" s="39"/>
      <c r="B107" s="39"/>
      <c r="C107" s="96" t="s">
        <v>757</v>
      </c>
      <c r="D107" s="96"/>
      <c r="E107" s="96"/>
      <c r="F107" s="96"/>
      <c r="G107" s="96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6"/>
    </row>
    <row r="108" spans="1:46" x14ac:dyDescent="0.25">
      <c r="A108" s="39"/>
      <c r="B108" s="39"/>
      <c r="C108" s="95"/>
      <c r="D108" s="95"/>
      <c r="E108" s="39"/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39"/>
    </row>
    <row r="109" spans="1:46" x14ac:dyDescent="0.25">
      <c r="A109" s="39"/>
      <c r="B109" s="39"/>
      <c r="C109" s="39"/>
      <c r="D109" s="39"/>
      <c r="E109" s="101" t="s">
        <v>755</v>
      </c>
      <c r="F109" s="39"/>
      <c r="G109" s="39" t="s">
        <v>438</v>
      </c>
      <c r="H109" s="132">
        <f>'DNO inputs'!H49</f>
        <v>7026821.8274153257</v>
      </c>
      <c r="I109" s="65"/>
      <c r="J109" s="110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144"/>
      <c r="AS109" s="65"/>
      <c r="AT109" s="39"/>
    </row>
    <row r="110" spans="1:46" x14ac:dyDescent="0.25">
      <c r="A110" s="107"/>
      <c r="B110" s="39"/>
      <c r="C110" s="39"/>
      <c r="D110" s="39"/>
      <c r="E110" s="187"/>
      <c r="F110" s="39"/>
      <c r="G110" s="101"/>
      <c r="H110" s="110"/>
      <c r="I110" s="123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65"/>
      <c r="AT110" s="39"/>
    </row>
    <row r="111" spans="1:46" x14ac:dyDescent="0.25">
      <c r="A111" s="39"/>
      <c r="B111" s="39"/>
      <c r="C111" s="95"/>
      <c r="D111" s="95"/>
      <c r="E111" s="39" t="s">
        <v>779</v>
      </c>
      <c r="F111" s="39"/>
      <c r="G111" s="39" t="s">
        <v>179</v>
      </c>
      <c r="H111" s="132">
        <f>'DNO inputs'!H66</f>
        <v>208.5916666666667</v>
      </c>
      <c r="I111" s="65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65"/>
      <c r="AT111" s="39"/>
    </row>
    <row r="112" spans="1:46" x14ac:dyDescent="0.25">
      <c r="A112" s="39"/>
      <c r="B112" s="39"/>
      <c r="C112" s="95"/>
      <c r="D112" s="95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39"/>
    </row>
    <row r="113" spans="1:46" x14ac:dyDescent="0.25">
      <c r="A113" s="39"/>
      <c r="B113" s="39"/>
      <c r="C113" s="39"/>
      <c r="D113" s="39"/>
      <c r="E113" s="101" t="s">
        <v>780</v>
      </c>
      <c r="F113" s="39"/>
      <c r="G113" s="39" t="s">
        <v>179</v>
      </c>
      <c r="H113" s="132">
        <f>'DNO inputs'!H68</f>
        <v>375.3960139708401</v>
      </c>
      <c r="I113" s="110"/>
      <c r="J113" s="65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65"/>
      <c r="AT113" s="39"/>
    </row>
    <row r="114" spans="1:46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39"/>
    </row>
    <row r="115" spans="1:46" x14ac:dyDescent="0.25">
      <c r="A115" s="39"/>
      <c r="B115" s="39"/>
      <c r="C115" s="39"/>
      <c r="D115" s="39"/>
      <c r="E115" s="101" t="s">
        <v>790</v>
      </c>
      <c r="F115" s="39"/>
      <c r="G115" s="101" t="s">
        <v>179</v>
      </c>
      <c r="H115" s="144">
        <f xml:space="preserve"> IF(H111 &lt;&gt; 0, H113 / H111, 0)</f>
        <v>1.7996692771563583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65"/>
      <c r="AT115" s="39"/>
    </row>
    <row r="116" spans="1:46" x14ac:dyDescent="0.25">
      <c r="A116" s="107"/>
      <c r="B116" s="39"/>
      <c r="C116" s="39"/>
      <c r="D116" s="39"/>
      <c r="E116" s="191"/>
      <c r="F116" s="39"/>
      <c r="G116" s="101"/>
      <c r="H116" s="116"/>
      <c r="I116" s="147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65"/>
      <c r="AT116" s="39"/>
    </row>
    <row r="117" spans="1:46" x14ac:dyDescent="0.25">
      <c r="A117" s="107"/>
      <c r="B117" s="39"/>
      <c r="C117" s="39"/>
      <c r="D117" s="39"/>
      <c r="E117" s="187" t="s">
        <v>781</v>
      </c>
      <c r="F117" s="39"/>
      <c r="G117" s="101" t="s">
        <v>438</v>
      </c>
      <c r="H117" s="110"/>
      <c r="I117" s="123" t="s">
        <v>314</v>
      </c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10">
        <f>IF(H115 &lt;&gt; 0, H109 / H115, 0)</f>
        <v>3904507.2984289345</v>
      </c>
      <c r="AS117" s="65"/>
      <c r="AT117" s="39" t="s">
        <v>754</v>
      </c>
    </row>
    <row r="118" spans="1:46" x14ac:dyDescent="0.25">
      <c r="A118" s="39"/>
      <c r="B118" s="39"/>
      <c r="C118" s="39"/>
      <c r="D118" s="39"/>
      <c r="E118" s="95"/>
      <c r="F118" s="39"/>
      <c r="G118" s="39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39"/>
    </row>
    <row r="119" spans="1:46" x14ac:dyDescent="0.25">
      <c r="A119" s="39"/>
      <c r="B119" s="39"/>
      <c r="C119" s="96" t="s">
        <v>756</v>
      </c>
      <c r="D119" s="96"/>
      <c r="E119" s="96"/>
      <c r="F119" s="96"/>
      <c r="G119" s="96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6"/>
    </row>
    <row r="120" spans="1:46" x14ac:dyDescent="0.25">
      <c r="A120" s="39"/>
      <c r="B120" s="39"/>
      <c r="C120" s="95"/>
      <c r="D120" s="95"/>
      <c r="E120" s="39"/>
      <c r="F120" s="39"/>
      <c r="G120" s="39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39"/>
    </row>
    <row r="121" spans="1:46" x14ac:dyDescent="0.25">
      <c r="A121" s="39"/>
      <c r="B121" s="39"/>
      <c r="C121" s="95"/>
      <c r="D121" s="95"/>
      <c r="E121" s="39" t="s">
        <v>248</v>
      </c>
      <c r="F121" s="39"/>
      <c r="G121" s="39"/>
      <c r="H121" s="65"/>
      <c r="I121" s="65" t="s">
        <v>314</v>
      </c>
      <c r="J121" s="110">
        <f t="shared" ref="J121:AR121" si="72" xml:space="preserve"> J62 - J69 + J117</f>
        <v>-19623036.647474967</v>
      </c>
      <c r="K121" s="110">
        <f t="shared" si="72"/>
        <v>0</v>
      </c>
      <c r="L121" s="110">
        <f t="shared" si="72"/>
        <v>0</v>
      </c>
      <c r="M121" s="110">
        <f t="shared" si="72"/>
        <v>0</v>
      </c>
      <c r="N121" s="110">
        <f t="shared" si="72"/>
        <v>0</v>
      </c>
      <c r="O121" s="110">
        <f t="shared" si="72"/>
        <v>0</v>
      </c>
      <c r="P121" s="110">
        <f t="shared" si="72"/>
        <v>0</v>
      </c>
      <c r="Q121" s="110">
        <f t="shared" si="72"/>
        <v>0</v>
      </c>
      <c r="R121" s="110">
        <f t="shared" si="72"/>
        <v>0</v>
      </c>
      <c r="S121" s="110">
        <f t="shared" si="72"/>
        <v>0</v>
      </c>
      <c r="T121" s="110">
        <f t="shared" si="72"/>
        <v>0</v>
      </c>
      <c r="U121" s="110">
        <f t="shared" si="72"/>
        <v>0</v>
      </c>
      <c r="V121" s="110">
        <f t="shared" si="72"/>
        <v>0</v>
      </c>
      <c r="W121" s="110">
        <f t="shared" si="72"/>
        <v>0</v>
      </c>
      <c r="X121" s="110">
        <f t="shared" si="72"/>
        <v>0</v>
      </c>
      <c r="Y121" s="110">
        <f t="shared" si="72"/>
        <v>11413705.956353251</v>
      </c>
      <c r="Z121" s="110">
        <f t="shared" si="72"/>
        <v>5534355.2999991588</v>
      </c>
      <c r="AA121" s="110">
        <f t="shared" si="72"/>
        <v>0</v>
      </c>
      <c r="AB121" s="110">
        <f t="shared" si="72"/>
        <v>0</v>
      </c>
      <c r="AC121" s="110">
        <f t="shared" si="72"/>
        <v>0</v>
      </c>
      <c r="AD121" s="110">
        <f t="shared" si="72"/>
        <v>0</v>
      </c>
      <c r="AE121" s="110">
        <f t="shared" si="72"/>
        <v>2241851.08</v>
      </c>
      <c r="AF121" s="110">
        <f t="shared" si="72"/>
        <v>7620000</v>
      </c>
      <c r="AG121" s="110">
        <f t="shared" si="72"/>
        <v>815642.07</v>
      </c>
      <c r="AH121" s="110">
        <f t="shared" si="72"/>
        <v>12183907.341469606</v>
      </c>
      <c r="AI121" s="110">
        <f t="shared" si="72"/>
        <v>0.13999999737279722</v>
      </c>
      <c r="AJ121" s="110">
        <f t="shared" si="72"/>
        <v>1014745.8008000003</v>
      </c>
      <c r="AK121" s="110">
        <f t="shared" si="72"/>
        <v>-5196946.3263321621</v>
      </c>
      <c r="AL121" s="110">
        <f t="shared" si="72"/>
        <v>39130465.450300001</v>
      </c>
      <c r="AM121" s="110">
        <f t="shared" si="72"/>
        <v>20184226.800000001</v>
      </c>
      <c r="AN121" s="110">
        <f t="shared" si="72"/>
        <v>8000000</v>
      </c>
      <c r="AO121" s="110">
        <f t="shared" si="72"/>
        <v>-7620000</v>
      </c>
      <c r="AP121" s="110">
        <f t="shared" si="72"/>
        <v>1450093.49</v>
      </c>
      <c r="AQ121" s="110">
        <f t="shared" si="72"/>
        <v>2470943.7074936316</v>
      </c>
      <c r="AR121" s="110">
        <f t="shared" si="72"/>
        <v>3904507.2984289345</v>
      </c>
      <c r="AS121" s="65"/>
      <c r="AT121" s="39" t="s">
        <v>735</v>
      </c>
    </row>
    <row r="122" spans="1:46" x14ac:dyDescent="0.25">
      <c r="A122" s="39"/>
      <c r="B122" s="39"/>
      <c r="C122" s="95"/>
      <c r="D122" s="95"/>
      <c r="E122" s="39"/>
      <c r="F122" s="39"/>
      <c r="G122" s="39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39"/>
    </row>
    <row r="123" spans="1:46" x14ac:dyDescent="0.25">
      <c r="A123" s="39"/>
      <c r="B123" s="39"/>
      <c r="C123" s="39"/>
      <c r="D123" s="39"/>
      <c r="E123" s="101" t="str">
        <f>'Fixed inputs'!E53</f>
        <v>Allocation rules allocation key, by cost category</v>
      </c>
      <c r="F123" s="39"/>
      <c r="G123" s="101" t="str">
        <f>'Fixed inputs'!G101</f>
        <v>%</v>
      </c>
      <c r="H123" s="110"/>
      <c r="I123" s="110"/>
      <c r="J123" s="140"/>
      <c r="K123" s="132" t="str">
        <f t="array" ref="K123:AR123">TRANSPOSE('Fixed inputs'!H55:H88)</f>
        <v>MEAV</v>
      </c>
      <c r="L123" s="132" t="str">
        <v>MEAV</v>
      </c>
      <c r="M123" s="132" t="str">
        <v>MEAV</v>
      </c>
      <c r="N123" s="132" t="str">
        <v>MEAV</v>
      </c>
      <c r="O123" s="132" t="str">
        <v>MEAV</v>
      </c>
      <c r="P123" s="132" t="str">
        <v>MEAV</v>
      </c>
      <c r="Q123" s="132" t="str">
        <v>MEAV</v>
      </c>
      <c r="R123" s="132" t="str">
        <v>MEAV</v>
      </c>
      <c r="S123" s="132" t="str">
        <v>MEAV</v>
      </c>
      <c r="T123" s="132" t="str">
        <v>MEAV</v>
      </c>
      <c r="U123" s="132" t="str">
        <v>MEAV</v>
      </c>
      <c r="V123" s="132" t="str">
        <v>MEAV</v>
      </c>
      <c r="W123" s="132" t="str">
        <v>MEAV</v>
      </c>
      <c r="X123" s="132" t="str">
        <v>MEAV</v>
      </c>
      <c r="Y123" s="132" t="str">
        <v>Do not allocate</v>
      </c>
      <c r="Z123" s="132" t="str">
        <v>Do not allocate</v>
      </c>
      <c r="AA123" s="132" t="str">
        <v>MEAV</v>
      </c>
      <c r="AB123" s="132" t="str">
        <v>MEAV</v>
      </c>
      <c r="AC123" s="132" t="str">
        <v>MEAV</v>
      </c>
      <c r="AD123" s="132" t="str">
        <v>MEAV</v>
      </c>
      <c r="AE123" s="132" t="str">
        <v>Do not allocate</v>
      </c>
      <c r="AF123" s="132" t="str">
        <v>Do not allocate</v>
      </c>
      <c r="AG123" s="132" t="str">
        <v>Do not allocate</v>
      </c>
      <c r="AH123" s="132" t="str">
        <v>Do not allocate</v>
      </c>
      <c r="AI123" s="132" t="str">
        <v>Do not allocate</v>
      </c>
      <c r="AJ123" s="132" t="str">
        <v>Do not allocate</v>
      </c>
      <c r="AK123" s="132" t="str">
        <v>Do not allocate</v>
      </c>
      <c r="AL123" s="132" t="str">
        <v>Do not allocate</v>
      </c>
      <c r="AM123" s="132" t="str">
        <v>Do not allocate</v>
      </c>
      <c r="AN123" s="132" t="str">
        <v>Deduct from revenue</v>
      </c>
      <c r="AO123" s="132" t="str">
        <v>Do not allocate</v>
      </c>
      <c r="AP123" s="132" t="str">
        <v>LV Services</v>
      </c>
      <c r="AQ123" s="132" t="str">
        <v>Do not allocate</v>
      </c>
      <c r="AR123" s="132" t="str">
        <v>LV Services</v>
      </c>
      <c r="AS123" s="65"/>
      <c r="AT123" s="39"/>
    </row>
    <row r="124" spans="1:46" x14ac:dyDescent="0.25">
      <c r="A124" s="39"/>
      <c r="B124" s="39"/>
      <c r="C124" s="39"/>
      <c r="D124" s="39"/>
      <c r="E124" s="95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39"/>
    </row>
    <row r="125" spans="1:46" x14ac:dyDescent="0.25">
      <c r="A125" s="39"/>
      <c r="B125" s="39"/>
      <c r="C125" s="39"/>
      <c r="D125" s="39"/>
      <c r="E125" s="101" t="str">
        <f>'Fixed inputs'!E51</f>
        <v>LV Services allocation option name</v>
      </c>
      <c r="F125" s="39"/>
      <c r="G125" s="101" t="s">
        <v>354</v>
      </c>
      <c r="H125" s="132" t="str">
        <f>'Fixed inputs'!H51</f>
        <v>LV Services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65"/>
      <c r="AT125" s="39"/>
    </row>
    <row r="126" spans="1:46" x14ac:dyDescent="0.25">
      <c r="A126" s="101"/>
      <c r="B126" s="39"/>
      <c r="C126" s="39"/>
      <c r="D126" s="39"/>
      <c r="E126" s="191" t="s">
        <v>729</v>
      </c>
      <c r="F126" s="39"/>
      <c r="G126" s="101" t="s">
        <v>191</v>
      </c>
      <c r="H126" s="116"/>
      <c r="I126" s="147" t="s">
        <v>314</v>
      </c>
      <c r="J126" s="116">
        <f t="shared" ref="J126:AQ126" si="73">IF($H125 = J123, 1, 0)</f>
        <v>0</v>
      </c>
      <c r="K126" s="116">
        <f t="shared" si="73"/>
        <v>0</v>
      </c>
      <c r="L126" s="116">
        <f t="shared" si="73"/>
        <v>0</v>
      </c>
      <c r="M126" s="116">
        <f t="shared" si="73"/>
        <v>0</v>
      </c>
      <c r="N126" s="116">
        <f t="shared" si="73"/>
        <v>0</v>
      </c>
      <c r="O126" s="116">
        <f t="shared" si="73"/>
        <v>0</v>
      </c>
      <c r="P126" s="116">
        <f t="shared" si="73"/>
        <v>0</v>
      </c>
      <c r="Q126" s="116">
        <f t="shared" si="73"/>
        <v>0</v>
      </c>
      <c r="R126" s="116">
        <f t="shared" si="73"/>
        <v>0</v>
      </c>
      <c r="S126" s="116">
        <f t="shared" si="73"/>
        <v>0</v>
      </c>
      <c r="T126" s="116">
        <f t="shared" si="73"/>
        <v>0</v>
      </c>
      <c r="U126" s="116">
        <f t="shared" si="73"/>
        <v>0</v>
      </c>
      <c r="V126" s="116">
        <f t="shared" si="73"/>
        <v>0</v>
      </c>
      <c r="W126" s="116">
        <f t="shared" si="73"/>
        <v>0</v>
      </c>
      <c r="X126" s="116">
        <f t="shared" si="73"/>
        <v>0</v>
      </c>
      <c r="Y126" s="116">
        <f t="shared" si="73"/>
        <v>0</v>
      </c>
      <c r="Z126" s="116">
        <f t="shared" si="73"/>
        <v>0</v>
      </c>
      <c r="AA126" s="116">
        <f t="shared" si="73"/>
        <v>0</v>
      </c>
      <c r="AB126" s="116">
        <f t="shared" si="73"/>
        <v>0</v>
      </c>
      <c r="AC126" s="116">
        <f t="shared" si="73"/>
        <v>0</v>
      </c>
      <c r="AD126" s="116">
        <f t="shared" si="73"/>
        <v>0</v>
      </c>
      <c r="AE126" s="116">
        <f t="shared" si="73"/>
        <v>0</v>
      </c>
      <c r="AF126" s="116">
        <f t="shared" si="73"/>
        <v>0</v>
      </c>
      <c r="AG126" s="116">
        <f t="shared" si="73"/>
        <v>0</v>
      </c>
      <c r="AH126" s="116">
        <f t="shared" si="73"/>
        <v>0</v>
      </c>
      <c r="AI126" s="116">
        <f t="shared" si="73"/>
        <v>0</v>
      </c>
      <c r="AJ126" s="116">
        <f t="shared" si="73"/>
        <v>0</v>
      </c>
      <c r="AK126" s="116">
        <f t="shared" si="73"/>
        <v>0</v>
      </c>
      <c r="AL126" s="116">
        <f t="shared" si="73"/>
        <v>0</v>
      </c>
      <c r="AM126" s="116">
        <f t="shared" si="73"/>
        <v>0</v>
      </c>
      <c r="AN126" s="116">
        <f t="shared" si="73"/>
        <v>0</v>
      </c>
      <c r="AO126" s="116">
        <f t="shared" si="73"/>
        <v>0</v>
      </c>
      <c r="AP126" s="116">
        <f t="shared" si="73"/>
        <v>1</v>
      </c>
      <c r="AQ126" s="116">
        <f t="shared" si="73"/>
        <v>0</v>
      </c>
      <c r="AR126" s="116">
        <f t="shared" ref="AR126" si="74">IF($H125 = AR123, 1, 0)</f>
        <v>1</v>
      </c>
      <c r="AS126" s="65"/>
      <c r="AT126" s="39" t="s">
        <v>735</v>
      </c>
    </row>
    <row r="127" spans="1:46" x14ac:dyDescent="0.25">
      <c r="A127" s="39"/>
      <c r="B127" s="39"/>
      <c r="C127" s="39"/>
      <c r="D127" s="39"/>
      <c r="E127" s="95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39"/>
    </row>
    <row r="128" spans="1:46" x14ac:dyDescent="0.25">
      <c r="A128" s="101"/>
      <c r="B128" s="39"/>
      <c r="C128" s="39"/>
      <c r="D128" s="39"/>
      <c r="E128" s="187" t="s">
        <v>733</v>
      </c>
      <c r="F128" s="39"/>
      <c r="G128" s="101" t="str">
        <f>G$19</f>
        <v>£ per year</v>
      </c>
      <c r="H128" s="110"/>
      <c r="I128" s="123" t="s">
        <v>314</v>
      </c>
      <c r="J128" s="110">
        <f>J121 * J126</f>
        <v>0</v>
      </c>
      <c r="K128" s="110">
        <f t="shared" ref="K128:AQ128" si="75">K121 * K126</f>
        <v>0</v>
      </c>
      <c r="L128" s="110">
        <f t="shared" si="75"/>
        <v>0</v>
      </c>
      <c r="M128" s="110">
        <f t="shared" si="75"/>
        <v>0</v>
      </c>
      <c r="N128" s="110">
        <f t="shared" si="75"/>
        <v>0</v>
      </c>
      <c r="O128" s="110">
        <f t="shared" si="75"/>
        <v>0</v>
      </c>
      <c r="P128" s="110">
        <f t="shared" si="75"/>
        <v>0</v>
      </c>
      <c r="Q128" s="110">
        <f t="shared" si="75"/>
        <v>0</v>
      </c>
      <c r="R128" s="110">
        <f t="shared" si="75"/>
        <v>0</v>
      </c>
      <c r="S128" s="110">
        <f t="shared" si="75"/>
        <v>0</v>
      </c>
      <c r="T128" s="110">
        <f t="shared" si="75"/>
        <v>0</v>
      </c>
      <c r="U128" s="110">
        <f t="shared" si="75"/>
        <v>0</v>
      </c>
      <c r="V128" s="110">
        <f t="shared" si="75"/>
        <v>0</v>
      </c>
      <c r="W128" s="110">
        <f t="shared" si="75"/>
        <v>0</v>
      </c>
      <c r="X128" s="110">
        <f t="shared" si="75"/>
        <v>0</v>
      </c>
      <c r="Y128" s="110">
        <f t="shared" si="75"/>
        <v>0</v>
      </c>
      <c r="Z128" s="110">
        <f t="shared" si="75"/>
        <v>0</v>
      </c>
      <c r="AA128" s="110">
        <f t="shared" si="75"/>
        <v>0</v>
      </c>
      <c r="AB128" s="110">
        <f t="shared" si="75"/>
        <v>0</v>
      </c>
      <c r="AC128" s="110">
        <f t="shared" si="75"/>
        <v>0</v>
      </c>
      <c r="AD128" s="110">
        <f t="shared" si="75"/>
        <v>0</v>
      </c>
      <c r="AE128" s="110">
        <f t="shared" si="75"/>
        <v>0</v>
      </c>
      <c r="AF128" s="110">
        <f t="shared" si="75"/>
        <v>0</v>
      </c>
      <c r="AG128" s="110">
        <f t="shared" si="75"/>
        <v>0</v>
      </c>
      <c r="AH128" s="110">
        <f t="shared" si="75"/>
        <v>0</v>
      </c>
      <c r="AI128" s="110">
        <f t="shared" si="75"/>
        <v>0</v>
      </c>
      <c r="AJ128" s="110">
        <f t="shared" si="75"/>
        <v>0</v>
      </c>
      <c r="AK128" s="110">
        <f t="shared" si="75"/>
        <v>0</v>
      </c>
      <c r="AL128" s="110">
        <f t="shared" si="75"/>
        <v>0</v>
      </c>
      <c r="AM128" s="110">
        <f t="shared" si="75"/>
        <v>0</v>
      </c>
      <c r="AN128" s="110">
        <f t="shared" si="75"/>
        <v>0</v>
      </c>
      <c r="AO128" s="110">
        <f t="shared" si="75"/>
        <v>0</v>
      </c>
      <c r="AP128" s="110">
        <f t="shared" si="75"/>
        <v>1450093.49</v>
      </c>
      <c r="AQ128" s="110">
        <f t="shared" si="75"/>
        <v>0</v>
      </c>
      <c r="AR128" s="110">
        <f t="shared" ref="AR128" si="76">AR121 * AR126</f>
        <v>3904507.2984289345</v>
      </c>
      <c r="AS128" s="65"/>
      <c r="AT128" s="39" t="s">
        <v>735</v>
      </c>
    </row>
    <row r="129" spans="1:46" x14ac:dyDescent="0.25">
      <c r="A129" s="101"/>
      <c r="B129" s="39"/>
      <c r="C129" s="39"/>
      <c r="D129" s="39"/>
      <c r="E129" s="187"/>
      <c r="F129" s="39"/>
      <c r="G129" s="101"/>
      <c r="H129" s="110"/>
      <c r="I129" s="123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65"/>
      <c r="AT129" s="39"/>
    </row>
    <row r="130" spans="1:46" x14ac:dyDescent="0.25">
      <c r="A130" s="101"/>
      <c r="B130" s="39"/>
      <c r="C130" s="39"/>
      <c r="D130" s="39"/>
      <c r="E130" s="187" t="s">
        <v>734</v>
      </c>
      <c r="F130" s="39"/>
      <c r="G130" s="187" t="s">
        <v>231</v>
      </c>
      <c r="H130" s="194"/>
      <c r="I130" s="195"/>
      <c r="J130" s="116">
        <f t="shared" ref="J130:AR130" si="77">IF( AND( SUM( J19:J22 ) &lt;&gt; 0, J126 &lt;&gt; 0), 1, 0)</f>
        <v>0</v>
      </c>
      <c r="K130" s="116">
        <f t="shared" si="77"/>
        <v>0</v>
      </c>
      <c r="L130" s="116">
        <f t="shared" si="77"/>
        <v>0</v>
      </c>
      <c r="M130" s="116">
        <f t="shared" si="77"/>
        <v>0</v>
      </c>
      <c r="N130" s="116">
        <f t="shared" si="77"/>
        <v>0</v>
      </c>
      <c r="O130" s="116">
        <f t="shared" si="77"/>
        <v>0</v>
      </c>
      <c r="P130" s="116">
        <f t="shared" si="77"/>
        <v>0</v>
      </c>
      <c r="Q130" s="116">
        <f t="shared" si="77"/>
        <v>0</v>
      </c>
      <c r="R130" s="116">
        <f t="shared" si="77"/>
        <v>0</v>
      </c>
      <c r="S130" s="116">
        <f t="shared" si="77"/>
        <v>0</v>
      </c>
      <c r="T130" s="116">
        <f t="shared" si="77"/>
        <v>0</v>
      </c>
      <c r="U130" s="116">
        <f t="shared" si="77"/>
        <v>0</v>
      </c>
      <c r="V130" s="116">
        <f t="shared" si="77"/>
        <v>0</v>
      </c>
      <c r="W130" s="116">
        <f t="shared" si="77"/>
        <v>0</v>
      </c>
      <c r="X130" s="116">
        <f t="shared" si="77"/>
        <v>0</v>
      </c>
      <c r="Y130" s="116">
        <f t="shared" si="77"/>
        <v>0</v>
      </c>
      <c r="Z130" s="116">
        <f t="shared" si="77"/>
        <v>0</v>
      </c>
      <c r="AA130" s="116">
        <f t="shared" si="77"/>
        <v>0</v>
      </c>
      <c r="AB130" s="116">
        <f t="shared" si="77"/>
        <v>0</v>
      </c>
      <c r="AC130" s="116">
        <f t="shared" si="77"/>
        <v>0</v>
      </c>
      <c r="AD130" s="116">
        <f t="shared" si="77"/>
        <v>0</v>
      </c>
      <c r="AE130" s="116">
        <f t="shared" si="77"/>
        <v>0</v>
      </c>
      <c r="AF130" s="116">
        <f t="shared" si="77"/>
        <v>0</v>
      </c>
      <c r="AG130" s="116">
        <f t="shared" si="77"/>
        <v>0</v>
      </c>
      <c r="AH130" s="116">
        <f t="shared" si="77"/>
        <v>0</v>
      </c>
      <c r="AI130" s="116">
        <f t="shared" si="77"/>
        <v>0</v>
      </c>
      <c r="AJ130" s="116">
        <f t="shared" si="77"/>
        <v>0</v>
      </c>
      <c r="AK130" s="116">
        <f t="shared" si="77"/>
        <v>0</v>
      </c>
      <c r="AL130" s="116">
        <f t="shared" si="77"/>
        <v>0</v>
      </c>
      <c r="AM130" s="116">
        <f t="shared" si="77"/>
        <v>0</v>
      </c>
      <c r="AN130" s="116">
        <f t="shared" si="77"/>
        <v>0</v>
      </c>
      <c r="AO130" s="116">
        <f t="shared" si="77"/>
        <v>0</v>
      </c>
      <c r="AP130" s="116">
        <f t="shared" si="77"/>
        <v>0</v>
      </c>
      <c r="AQ130" s="116">
        <f t="shared" si="77"/>
        <v>0</v>
      </c>
      <c r="AR130" s="116">
        <f t="shared" si="77"/>
        <v>0</v>
      </c>
      <c r="AS130" s="65"/>
      <c r="AT130" s="39"/>
    </row>
    <row r="131" spans="1:46" x14ac:dyDescent="0.25">
      <c r="A131" s="101"/>
      <c r="B131" s="39"/>
      <c r="C131" s="39"/>
      <c r="D131" s="39"/>
      <c r="E131" s="187" t="s">
        <v>232</v>
      </c>
      <c r="F131" s="39"/>
      <c r="G131" s="187" t="s">
        <v>231</v>
      </c>
      <c r="H131" s="116">
        <f>SUM(J130:AR130)</f>
        <v>0</v>
      </c>
      <c r="I131" s="195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65"/>
      <c r="AT131" s="39"/>
    </row>
    <row r="132" spans="1:46" x14ac:dyDescent="0.25">
      <c r="A132" s="39"/>
      <c r="B132" s="39"/>
      <c r="C132" s="39"/>
      <c r="D132" s="39"/>
      <c r="E132" s="95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39"/>
    </row>
    <row r="133" spans="1:46" x14ac:dyDescent="0.25">
      <c r="A133" s="39"/>
      <c r="B133" s="93" t="s">
        <v>271</v>
      </c>
      <c r="C133" s="93"/>
      <c r="D133" s="93"/>
      <c r="E133" s="93"/>
      <c r="F133" s="93"/>
      <c r="G133" s="93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3"/>
    </row>
    <row r="134" spans="1:46" x14ac:dyDescent="0.25">
      <c r="A134" s="39"/>
      <c r="B134" s="39"/>
      <c r="C134" s="39"/>
      <c r="D134" s="39"/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39"/>
    </row>
    <row r="135" spans="1:46" x14ac:dyDescent="0.25">
      <c r="A135" s="39"/>
      <c r="B135" s="39"/>
      <c r="C135" s="95" t="s">
        <v>703</v>
      </c>
      <c r="D135" s="95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39"/>
    </row>
    <row r="136" spans="1:46" x14ac:dyDescent="0.25">
      <c r="A136" s="39"/>
      <c r="B136" s="39"/>
      <c r="C136" s="95" t="s">
        <v>458</v>
      </c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39"/>
    </row>
    <row r="137" spans="1:46" x14ac:dyDescent="0.25">
      <c r="A137" s="39"/>
      <c r="B137" s="39"/>
      <c r="C137" s="95"/>
      <c r="D137" s="95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39"/>
    </row>
    <row r="138" spans="1:46" x14ac:dyDescent="0.25">
      <c r="A138" s="39"/>
      <c r="B138" s="39"/>
      <c r="C138" s="96" t="s">
        <v>758</v>
      </c>
      <c r="D138" s="96"/>
      <c r="E138" s="96"/>
      <c r="F138" s="96"/>
      <c r="G138" s="96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6"/>
    </row>
    <row r="139" spans="1:46" x14ac:dyDescent="0.25">
      <c r="A139" s="39"/>
      <c r="B139" s="39"/>
      <c r="C139" s="95"/>
      <c r="D139" s="95"/>
      <c r="E139" s="39"/>
      <c r="F139" s="39"/>
      <c r="G139" s="39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39"/>
    </row>
    <row r="140" spans="1:46" x14ac:dyDescent="0.25">
      <c r="A140" s="101"/>
      <c r="B140" s="39"/>
      <c r="C140" s="39"/>
      <c r="D140" s="39"/>
      <c r="E140" s="98" t="s">
        <v>269</v>
      </c>
      <c r="F140" s="39"/>
      <c r="G140" s="39"/>
      <c r="H140" s="65"/>
      <c r="I140" s="112" t="s">
        <v>314</v>
      </c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101" t="s">
        <v>605</v>
      </c>
    </row>
    <row r="141" spans="1:46" x14ac:dyDescent="0.25">
      <c r="A141" s="39"/>
      <c r="B141" s="39"/>
      <c r="C141" s="39"/>
      <c r="D141" s="39"/>
      <c r="E141" s="39"/>
      <c r="F141" s="99" t="s">
        <v>287</v>
      </c>
      <c r="G141" s="99" t="str">
        <f>G$19</f>
        <v>£ per year</v>
      </c>
      <c r="H141" s="125"/>
      <c r="I141" s="125"/>
      <c r="J141" s="192">
        <f t="shared" ref="J141:AR141" si="78">J45 + J90 + J128</f>
        <v>0</v>
      </c>
      <c r="K141" s="192">
        <f t="shared" si="78"/>
        <v>9103368.6923444569</v>
      </c>
      <c r="L141" s="192">
        <f t="shared" si="78"/>
        <v>534016.3116760375</v>
      </c>
      <c r="M141" s="192">
        <f t="shared" si="78"/>
        <v>7748328.1754485406</v>
      </c>
      <c r="N141" s="192">
        <f t="shared" si="78"/>
        <v>1188916.1653368431</v>
      </c>
      <c r="O141" s="192">
        <f t="shared" si="78"/>
        <v>648211.30841654877</v>
      </c>
      <c r="P141" s="192">
        <f t="shared" si="78"/>
        <v>180679.80649378203</v>
      </c>
      <c r="Q141" s="192">
        <f t="shared" si="78"/>
        <v>1311279.5538711445</v>
      </c>
      <c r="R141" s="192">
        <f t="shared" si="78"/>
        <v>978465.87404156779</v>
      </c>
      <c r="S141" s="192">
        <f t="shared" si="78"/>
        <v>5454471.2005411116</v>
      </c>
      <c r="T141" s="192">
        <f t="shared" si="78"/>
        <v>931128.19434099342</v>
      </c>
      <c r="U141" s="192">
        <f t="shared" si="78"/>
        <v>429762.86644016148</v>
      </c>
      <c r="V141" s="192">
        <f t="shared" si="78"/>
        <v>335650.69918323075</v>
      </c>
      <c r="W141" s="192">
        <f t="shared" si="78"/>
        <v>317835.79193394189</v>
      </c>
      <c r="X141" s="192">
        <f t="shared" si="78"/>
        <v>1268456.8642590083</v>
      </c>
      <c r="Y141" s="192">
        <f t="shared" si="78"/>
        <v>0</v>
      </c>
      <c r="Z141" s="192">
        <f t="shared" si="78"/>
        <v>0</v>
      </c>
      <c r="AA141" s="192">
        <f t="shared" si="78"/>
        <v>320064.07867296273</v>
      </c>
      <c r="AB141" s="192">
        <f t="shared" si="78"/>
        <v>457363.31753613724</v>
      </c>
      <c r="AC141" s="192">
        <f t="shared" si="78"/>
        <v>1814488.5695949553</v>
      </c>
      <c r="AD141" s="192">
        <f t="shared" si="78"/>
        <v>358331.97111971508</v>
      </c>
      <c r="AE141" s="192">
        <f t="shared" si="78"/>
        <v>0</v>
      </c>
      <c r="AF141" s="192">
        <f t="shared" si="78"/>
        <v>0</v>
      </c>
      <c r="AG141" s="192">
        <f t="shared" si="78"/>
        <v>0</v>
      </c>
      <c r="AH141" s="192">
        <f t="shared" si="78"/>
        <v>0</v>
      </c>
      <c r="AI141" s="192">
        <f t="shared" si="78"/>
        <v>0</v>
      </c>
      <c r="AJ141" s="192">
        <f t="shared" si="78"/>
        <v>0</v>
      </c>
      <c r="AK141" s="192">
        <f t="shared" si="78"/>
        <v>0</v>
      </c>
      <c r="AL141" s="192">
        <f t="shared" si="78"/>
        <v>0</v>
      </c>
      <c r="AM141" s="192">
        <f t="shared" si="78"/>
        <v>0</v>
      </c>
      <c r="AN141" s="192">
        <f t="shared" si="78"/>
        <v>0</v>
      </c>
      <c r="AO141" s="192">
        <f t="shared" si="78"/>
        <v>0</v>
      </c>
      <c r="AP141" s="192">
        <f>AP45 + AP90 + AP128</f>
        <v>1450093.49</v>
      </c>
      <c r="AQ141" s="192">
        <f t="shared" si="78"/>
        <v>0</v>
      </c>
      <c r="AR141" s="192">
        <f t="shared" si="78"/>
        <v>3904507.2984289345</v>
      </c>
      <c r="AS141" s="65"/>
      <c r="AT141" s="39"/>
    </row>
    <row r="142" spans="1:46" x14ac:dyDescent="0.25">
      <c r="A142" s="39"/>
      <c r="B142" s="39"/>
      <c r="C142" s="39"/>
      <c r="D142" s="39"/>
      <c r="E142" s="39"/>
      <c r="F142" s="101" t="s">
        <v>288</v>
      </c>
      <c r="G142" s="101" t="str">
        <f>G$19</f>
        <v>£ per year</v>
      </c>
      <c r="H142" s="110"/>
      <c r="I142" s="110"/>
      <c r="J142" s="151">
        <f t="shared" ref="J142:AR142" si="79">J46 + J91</f>
        <v>3833598.9292598576</v>
      </c>
      <c r="K142" s="151">
        <f t="shared" si="79"/>
        <v>8710507.9956243169</v>
      </c>
      <c r="L142" s="151">
        <f t="shared" si="79"/>
        <v>510970.55495068419</v>
      </c>
      <c r="M142" s="151">
        <f t="shared" si="79"/>
        <v>7413944.9698135881</v>
      </c>
      <c r="N142" s="151">
        <f t="shared" si="79"/>
        <v>1137607.8586164021</v>
      </c>
      <c r="O142" s="151">
        <f t="shared" si="79"/>
        <v>620237.40613347897</v>
      </c>
      <c r="P142" s="151">
        <f t="shared" si="79"/>
        <v>172882.47376330607</v>
      </c>
      <c r="Q142" s="151">
        <f t="shared" si="79"/>
        <v>1254690.5903194526</v>
      </c>
      <c r="R142" s="151">
        <f t="shared" si="79"/>
        <v>936239.66108854127</v>
      </c>
      <c r="S142" s="151">
        <f t="shared" si="79"/>
        <v>5219080.607398754</v>
      </c>
      <c r="T142" s="151">
        <f t="shared" si="79"/>
        <v>890944.86402370175</v>
      </c>
      <c r="U142" s="151">
        <f t="shared" si="79"/>
        <v>411216.22235266987</v>
      </c>
      <c r="V142" s="151">
        <f t="shared" si="79"/>
        <v>321165.51551197964</v>
      </c>
      <c r="W142" s="151">
        <f t="shared" si="79"/>
        <v>304119.42001913936</v>
      </c>
      <c r="X142" s="151">
        <f t="shared" si="79"/>
        <v>1213715.9365548156</v>
      </c>
      <c r="Y142" s="151">
        <f t="shared" si="79"/>
        <v>0</v>
      </c>
      <c r="Z142" s="151">
        <f t="shared" si="79"/>
        <v>0</v>
      </c>
      <c r="AA142" s="151">
        <f t="shared" si="79"/>
        <v>306251.54386392079</v>
      </c>
      <c r="AB142" s="151">
        <f t="shared" si="79"/>
        <v>437625.56136543694</v>
      </c>
      <c r="AC142" s="151">
        <f t="shared" si="79"/>
        <v>1736183.3544891148</v>
      </c>
      <c r="AD142" s="151">
        <f t="shared" si="79"/>
        <v>342867.96514689561</v>
      </c>
      <c r="AE142" s="151">
        <f t="shared" si="79"/>
        <v>0</v>
      </c>
      <c r="AF142" s="151">
        <f t="shared" si="79"/>
        <v>0</v>
      </c>
      <c r="AG142" s="151">
        <f t="shared" si="79"/>
        <v>0</v>
      </c>
      <c r="AH142" s="151">
        <f t="shared" si="79"/>
        <v>0</v>
      </c>
      <c r="AI142" s="151">
        <f t="shared" si="79"/>
        <v>0</v>
      </c>
      <c r="AJ142" s="151">
        <f t="shared" si="79"/>
        <v>0</v>
      </c>
      <c r="AK142" s="151">
        <f t="shared" si="79"/>
        <v>0</v>
      </c>
      <c r="AL142" s="151">
        <f t="shared" si="79"/>
        <v>0</v>
      </c>
      <c r="AM142" s="151">
        <f t="shared" si="79"/>
        <v>0</v>
      </c>
      <c r="AN142" s="151">
        <f t="shared" si="79"/>
        <v>0</v>
      </c>
      <c r="AO142" s="151">
        <f t="shared" si="79"/>
        <v>0</v>
      </c>
      <c r="AP142" s="151">
        <f t="shared" si="79"/>
        <v>0</v>
      </c>
      <c r="AQ142" s="151">
        <f t="shared" si="79"/>
        <v>0</v>
      </c>
      <c r="AR142" s="151">
        <f t="shared" si="79"/>
        <v>0</v>
      </c>
      <c r="AS142" s="65"/>
      <c r="AT142" s="39"/>
    </row>
    <row r="143" spans="1:46" x14ac:dyDescent="0.25">
      <c r="A143" s="39"/>
      <c r="B143" s="39"/>
      <c r="C143" s="39"/>
      <c r="D143" s="39"/>
      <c r="E143" s="39"/>
      <c r="F143" s="101" t="s">
        <v>289</v>
      </c>
      <c r="G143" s="101" t="str">
        <f>G$19</f>
        <v>£ per year</v>
      </c>
      <c r="H143" s="110"/>
      <c r="I143" s="110"/>
      <c r="J143" s="151">
        <f t="shared" ref="J143:AR143" si="80">J47 + J92</f>
        <v>0</v>
      </c>
      <c r="K143" s="151">
        <f t="shared" si="80"/>
        <v>7071633.4165335018</v>
      </c>
      <c r="L143" s="151">
        <f t="shared" si="80"/>
        <v>80940.750315303259</v>
      </c>
      <c r="M143" s="151">
        <f t="shared" si="80"/>
        <v>573812.57460286759</v>
      </c>
      <c r="N143" s="151">
        <f t="shared" si="80"/>
        <v>5344653.1429645559</v>
      </c>
      <c r="O143" s="151">
        <f t="shared" si="80"/>
        <v>-141929.52815405032</v>
      </c>
      <c r="P143" s="151">
        <f t="shared" si="80"/>
        <v>27385.603744071454</v>
      </c>
      <c r="Q143" s="151">
        <f t="shared" si="80"/>
        <v>198750.39140720898</v>
      </c>
      <c r="R143" s="151">
        <f t="shared" si="80"/>
        <v>148305.88555296612</v>
      </c>
      <c r="S143" s="151">
        <f t="shared" si="80"/>
        <v>826733.15756849211</v>
      </c>
      <c r="T143" s="151">
        <f t="shared" si="80"/>
        <v>141130.92248653006</v>
      </c>
      <c r="U143" s="151">
        <f t="shared" si="80"/>
        <v>65139.07554274251</v>
      </c>
      <c r="V143" s="151">
        <f t="shared" si="80"/>
        <v>50874.512335548803</v>
      </c>
      <c r="W143" s="151">
        <f t="shared" si="80"/>
        <v>48174.310248033289</v>
      </c>
      <c r="X143" s="151">
        <f t="shared" si="80"/>
        <v>192259.76452570583</v>
      </c>
      <c r="Y143" s="151">
        <f t="shared" si="80"/>
        <v>0</v>
      </c>
      <c r="Z143" s="151">
        <f t="shared" si="80"/>
        <v>0</v>
      </c>
      <c r="AA143" s="151">
        <f t="shared" si="80"/>
        <v>48512.051243262285</v>
      </c>
      <c r="AB143" s="151">
        <f t="shared" si="80"/>
        <v>69322.470641176085</v>
      </c>
      <c r="AC143" s="151">
        <f t="shared" si="80"/>
        <v>275021.68576201424</v>
      </c>
      <c r="AD143" s="151">
        <f t="shared" si="80"/>
        <v>54312.30838878658</v>
      </c>
      <c r="AE143" s="151">
        <f t="shared" si="80"/>
        <v>0</v>
      </c>
      <c r="AF143" s="151">
        <f t="shared" si="80"/>
        <v>0</v>
      </c>
      <c r="AG143" s="151">
        <f t="shared" si="80"/>
        <v>0</v>
      </c>
      <c r="AH143" s="151">
        <f t="shared" si="80"/>
        <v>0</v>
      </c>
      <c r="AI143" s="151">
        <f t="shared" si="80"/>
        <v>0</v>
      </c>
      <c r="AJ143" s="151">
        <f t="shared" si="80"/>
        <v>0</v>
      </c>
      <c r="AK143" s="151">
        <f t="shared" si="80"/>
        <v>0</v>
      </c>
      <c r="AL143" s="151">
        <f t="shared" si="80"/>
        <v>0</v>
      </c>
      <c r="AM143" s="151">
        <f t="shared" si="80"/>
        <v>0</v>
      </c>
      <c r="AN143" s="151">
        <f t="shared" si="80"/>
        <v>0</v>
      </c>
      <c r="AO143" s="151">
        <f t="shared" si="80"/>
        <v>0</v>
      </c>
      <c r="AP143" s="151">
        <f>AP47 + AP92</f>
        <v>0</v>
      </c>
      <c r="AQ143" s="151">
        <f t="shared" si="80"/>
        <v>0</v>
      </c>
      <c r="AR143" s="151">
        <f t="shared" si="80"/>
        <v>0</v>
      </c>
      <c r="AS143" s="65"/>
      <c r="AT143" s="39"/>
    </row>
    <row r="144" spans="1:46" x14ac:dyDescent="0.25">
      <c r="A144" s="39"/>
      <c r="B144" s="39"/>
      <c r="C144" s="39"/>
      <c r="D144" s="39"/>
      <c r="E144" s="39"/>
      <c r="F144" s="101" t="s">
        <v>290</v>
      </c>
      <c r="G144" s="101" t="str">
        <f>G$19</f>
        <v>£ per year</v>
      </c>
      <c r="H144" s="110"/>
      <c r="I144" s="110"/>
      <c r="J144" s="151">
        <f t="shared" ref="J144:AR144" si="81">J48 + J93</f>
        <v>5609437.7182151098</v>
      </c>
      <c r="K144" s="151">
        <f t="shared" si="81"/>
        <v>26380932.281549994</v>
      </c>
      <c r="L144" s="151">
        <f t="shared" si="81"/>
        <v>301132.58338245167</v>
      </c>
      <c r="M144" s="151">
        <f t="shared" si="81"/>
        <v>5247427.9883359019</v>
      </c>
      <c r="N144" s="151">
        <f t="shared" si="81"/>
        <v>661730.120847299</v>
      </c>
      <c r="O144" s="151">
        <f t="shared" si="81"/>
        <v>4754011.845312411</v>
      </c>
      <c r="P144" s="151">
        <f t="shared" si="81"/>
        <v>101885.60855706815</v>
      </c>
      <c r="Q144" s="151">
        <f t="shared" si="81"/>
        <v>739432.4685597897</v>
      </c>
      <c r="R144" s="151">
        <f t="shared" si="81"/>
        <v>551758.34512795729</v>
      </c>
      <c r="S144" s="151">
        <f t="shared" si="81"/>
        <v>3075784.3303493815</v>
      </c>
      <c r="T144" s="151">
        <f t="shared" si="81"/>
        <v>525064.55793852627</v>
      </c>
      <c r="U144" s="151">
        <f t="shared" si="81"/>
        <v>242343.91231757676</v>
      </c>
      <c r="V144" s="151">
        <f t="shared" si="81"/>
        <v>189273.92281696838</v>
      </c>
      <c r="W144" s="151">
        <f t="shared" si="81"/>
        <v>179228.07042369616</v>
      </c>
      <c r="X144" s="151">
        <f t="shared" si="81"/>
        <v>715284.69092016132</v>
      </c>
      <c r="Y144" s="151">
        <f t="shared" si="81"/>
        <v>0</v>
      </c>
      <c r="Z144" s="151">
        <f t="shared" si="81"/>
        <v>0</v>
      </c>
      <c r="AA144" s="151">
        <f t="shared" si="81"/>
        <v>180484.60459234766</v>
      </c>
      <c r="AB144" s="151">
        <f t="shared" si="81"/>
        <v>257907.84727485638</v>
      </c>
      <c r="AC144" s="151">
        <f t="shared" si="81"/>
        <v>1023192.7724551127</v>
      </c>
      <c r="AD144" s="151">
        <f t="shared" si="81"/>
        <v>202063.92541295072</v>
      </c>
      <c r="AE144" s="151">
        <f t="shared" si="81"/>
        <v>0</v>
      </c>
      <c r="AF144" s="151">
        <f t="shared" si="81"/>
        <v>0</v>
      </c>
      <c r="AG144" s="151">
        <f t="shared" si="81"/>
        <v>0</v>
      </c>
      <c r="AH144" s="151">
        <f t="shared" si="81"/>
        <v>0</v>
      </c>
      <c r="AI144" s="151">
        <f t="shared" si="81"/>
        <v>0</v>
      </c>
      <c r="AJ144" s="151">
        <f t="shared" si="81"/>
        <v>0</v>
      </c>
      <c r="AK144" s="151">
        <f t="shared" si="81"/>
        <v>0</v>
      </c>
      <c r="AL144" s="151">
        <f t="shared" si="81"/>
        <v>0</v>
      </c>
      <c r="AM144" s="151">
        <f t="shared" si="81"/>
        <v>0</v>
      </c>
      <c r="AN144" s="151">
        <f t="shared" si="81"/>
        <v>0</v>
      </c>
      <c r="AO144" s="151">
        <f t="shared" si="81"/>
        <v>0</v>
      </c>
      <c r="AP144" s="151">
        <f t="shared" si="81"/>
        <v>0</v>
      </c>
      <c r="AQ144" s="151">
        <f t="shared" si="81"/>
        <v>0</v>
      </c>
      <c r="AR144" s="151">
        <f t="shared" si="81"/>
        <v>0</v>
      </c>
      <c r="AS144" s="65"/>
      <c r="AT144" s="39"/>
    </row>
    <row r="145" spans="1:46" x14ac:dyDescent="0.25">
      <c r="A145" s="39"/>
      <c r="B145" s="39"/>
      <c r="C145" s="39"/>
      <c r="D145" s="39"/>
      <c r="E145" s="39"/>
      <c r="F145" s="103" t="s">
        <v>291</v>
      </c>
      <c r="G145" s="103" t="str">
        <f>G$19</f>
        <v>£ per year</v>
      </c>
      <c r="H145" s="126"/>
      <c r="I145" s="127"/>
      <c r="J145" s="152">
        <f t="shared" ref="J145:AR145" si="82">J49 + J94</f>
        <v>10180000</v>
      </c>
      <c r="K145" s="152">
        <f t="shared" si="82"/>
        <v>35472210.487194926</v>
      </c>
      <c r="L145" s="152">
        <f t="shared" si="82"/>
        <v>863139.78799552319</v>
      </c>
      <c r="M145" s="152">
        <f t="shared" si="82"/>
        <v>2623947.7688073181</v>
      </c>
      <c r="N145" s="152">
        <f t="shared" si="82"/>
        <v>3350477.2222617008</v>
      </c>
      <c r="O145" s="152">
        <f t="shared" si="82"/>
        <v>-972253.4377083861</v>
      </c>
      <c r="P145" s="152">
        <f t="shared" si="82"/>
        <v>292035.89190497209</v>
      </c>
      <c r="Q145" s="152">
        <f t="shared" si="82"/>
        <v>2119443.7911061868</v>
      </c>
      <c r="R145" s="152">
        <f t="shared" si="82"/>
        <v>1581511.2920997129</v>
      </c>
      <c r="S145" s="152">
        <f t="shared" si="82"/>
        <v>8816156.0100786686</v>
      </c>
      <c r="T145" s="152">
        <f t="shared" si="82"/>
        <v>1504998.5827917978</v>
      </c>
      <c r="U145" s="152">
        <f t="shared" si="82"/>
        <v>694633.14381404966</v>
      </c>
      <c r="V145" s="152">
        <f t="shared" si="82"/>
        <v>542518.02238827199</v>
      </c>
      <c r="W145" s="152">
        <f t="shared" si="82"/>
        <v>513723.48010537733</v>
      </c>
      <c r="X145" s="152">
        <f t="shared" si="82"/>
        <v>2050228.7382603094</v>
      </c>
      <c r="Y145" s="152">
        <f t="shared" si="82"/>
        <v>0</v>
      </c>
      <c r="Z145" s="152">
        <f t="shared" si="82"/>
        <v>0</v>
      </c>
      <c r="AA145" s="152">
        <f t="shared" si="82"/>
        <v>517325.09844822384</v>
      </c>
      <c r="AB145" s="152">
        <f t="shared" si="82"/>
        <v>739244.22963049496</v>
      </c>
      <c r="AC145" s="152">
        <f t="shared" si="82"/>
        <v>2932789.2145560593</v>
      </c>
      <c r="AD145" s="152">
        <f t="shared" si="82"/>
        <v>579178.1539660549</v>
      </c>
      <c r="AE145" s="152">
        <f t="shared" si="82"/>
        <v>0</v>
      </c>
      <c r="AF145" s="152">
        <f t="shared" si="82"/>
        <v>0</v>
      </c>
      <c r="AG145" s="152">
        <f t="shared" si="82"/>
        <v>0</v>
      </c>
      <c r="AH145" s="152">
        <f t="shared" si="82"/>
        <v>0</v>
      </c>
      <c r="AI145" s="152">
        <f t="shared" si="82"/>
        <v>0</v>
      </c>
      <c r="AJ145" s="152">
        <f t="shared" si="82"/>
        <v>0</v>
      </c>
      <c r="AK145" s="152">
        <f t="shared" si="82"/>
        <v>0</v>
      </c>
      <c r="AL145" s="152">
        <f t="shared" si="82"/>
        <v>0</v>
      </c>
      <c r="AM145" s="152">
        <f t="shared" si="82"/>
        <v>0</v>
      </c>
      <c r="AN145" s="152">
        <f t="shared" si="82"/>
        <v>0</v>
      </c>
      <c r="AO145" s="152">
        <f t="shared" si="82"/>
        <v>0</v>
      </c>
      <c r="AP145" s="152">
        <f t="shared" si="82"/>
        <v>0</v>
      </c>
      <c r="AQ145" s="152">
        <f t="shared" si="82"/>
        <v>0</v>
      </c>
      <c r="AR145" s="152">
        <f t="shared" si="82"/>
        <v>0</v>
      </c>
      <c r="AS145" s="65"/>
      <c r="AT145" s="39"/>
    </row>
    <row r="146" spans="1:4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39"/>
    </row>
    <row r="147" spans="1:46" x14ac:dyDescent="0.25">
      <c r="A147" s="101"/>
      <c r="B147" s="39"/>
      <c r="C147" s="39"/>
      <c r="D147" s="39"/>
      <c r="E147" s="98" t="s">
        <v>270</v>
      </c>
      <c r="F147" s="39"/>
      <c r="G147" s="39"/>
      <c r="H147" s="65"/>
      <c r="I147" s="112" t="s">
        <v>314</v>
      </c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101" t="s">
        <v>605</v>
      </c>
    </row>
    <row r="148" spans="1:46" x14ac:dyDescent="0.25">
      <c r="A148" s="39"/>
      <c r="B148" s="39"/>
      <c r="C148" s="39"/>
      <c r="D148" s="39"/>
      <c r="E148" s="39"/>
      <c r="F148" s="99" t="s">
        <v>282</v>
      </c>
      <c r="G148" s="99" t="str">
        <f>G$19</f>
        <v>£ per year</v>
      </c>
      <c r="H148" s="125"/>
      <c r="I148" s="125"/>
      <c r="J148" s="192">
        <f t="shared" ref="J148:AR148" si="83">J45 + J97 + J128</f>
        <v>0</v>
      </c>
      <c r="K148" s="192">
        <f t="shared" si="83"/>
        <v>9158203.6717055291</v>
      </c>
      <c r="L148" s="192">
        <f t="shared" si="83"/>
        <v>564998.67385846458</v>
      </c>
      <c r="M148" s="192">
        <f t="shared" si="83"/>
        <v>7745062.2747518159</v>
      </c>
      <c r="N148" s="192">
        <f t="shared" si="83"/>
        <v>1212113.5428737029</v>
      </c>
      <c r="O148" s="192">
        <f t="shared" si="83"/>
        <v>593883.7660041037</v>
      </c>
      <c r="P148" s="192">
        <f t="shared" si="83"/>
        <v>191162.42112828998</v>
      </c>
      <c r="Q148" s="192">
        <f t="shared" si="83"/>
        <v>1387356.8892861223</v>
      </c>
      <c r="R148" s="192">
        <f t="shared" si="83"/>
        <v>1035234.1476502056</v>
      </c>
      <c r="S148" s="192">
        <f t="shared" si="83"/>
        <v>5770926.7067753524</v>
      </c>
      <c r="T148" s="192">
        <f t="shared" si="83"/>
        <v>985150.04783981142</v>
      </c>
      <c r="U148" s="192">
        <f t="shared" si="83"/>
        <v>454696.69053781329</v>
      </c>
      <c r="V148" s="192">
        <f t="shared" si="83"/>
        <v>355124.3581361589</v>
      </c>
      <c r="W148" s="192">
        <f t="shared" si="83"/>
        <v>336275.87214297085</v>
      </c>
      <c r="X148" s="192">
        <f t="shared" si="83"/>
        <v>1342049.7286003875</v>
      </c>
      <c r="Y148" s="192">
        <f t="shared" si="83"/>
        <v>0</v>
      </c>
      <c r="Z148" s="192">
        <f t="shared" si="83"/>
        <v>0</v>
      </c>
      <c r="AA148" s="192">
        <f t="shared" si="83"/>
        <v>338633.43880338199</v>
      </c>
      <c r="AB148" s="192">
        <f t="shared" si="83"/>
        <v>483898.45446554513</v>
      </c>
      <c r="AC148" s="192">
        <f t="shared" si="83"/>
        <v>1919760.9008138736</v>
      </c>
      <c r="AD148" s="192">
        <f t="shared" si="83"/>
        <v>379121.5437751456</v>
      </c>
      <c r="AE148" s="192">
        <f t="shared" si="83"/>
        <v>0</v>
      </c>
      <c r="AF148" s="192">
        <f t="shared" si="83"/>
        <v>0</v>
      </c>
      <c r="AG148" s="192">
        <f t="shared" si="83"/>
        <v>0</v>
      </c>
      <c r="AH148" s="192">
        <f t="shared" si="83"/>
        <v>0</v>
      </c>
      <c r="AI148" s="192">
        <f t="shared" si="83"/>
        <v>0</v>
      </c>
      <c r="AJ148" s="192">
        <f t="shared" si="83"/>
        <v>0</v>
      </c>
      <c r="AK148" s="192">
        <f t="shared" si="83"/>
        <v>0</v>
      </c>
      <c r="AL148" s="192">
        <f t="shared" si="83"/>
        <v>0</v>
      </c>
      <c r="AM148" s="192">
        <f t="shared" si="83"/>
        <v>0</v>
      </c>
      <c r="AN148" s="192">
        <f t="shared" si="83"/>
        <v>0</v>
      </c>
      <c r="AO148" s="192">
        <f t="shared" si="83"/>
        <v>0</v>
      </c>
      <c r="AP148" s="192">
        <f t="shared" si="83"/>
        <v>1450093.49</v>
      </c>
      <c r="AQ148" s="192">
        <f t="shared" si="83"/>
        <v>0</v>
      </c>
      <c r="AR148" s="192">
        <f t="shared" si="83"/>
        <v>3904507.2984289345</v>
      </c>
      <c r="AS148" s="65"/>
      <c r="AT148" s="39"/>
    </row>
    <row r="149" spans="1:46" x14ac:dyDescent="0.25">
      <c r="A149" s="39"/>
      <c r="B149" s="39"/>
      <c r="C149" s="39"/>
      <c r="D149" s="39"/>
      <c r="E149" s="39"/>
      <c r="F149" s="101" t="s">
        <v>283</v>
      </c>
      <c r="G149" s="101" t="str">
        <f>G$19</f>
        <v>£ per year</v>
      </c>
      <c r="H149" s="110"/>
      <c r="I149" s="110"/>
      <c r="J149" s="151">
        <f t="shared" ref="J149:AQ149" si="84">J46 + J98</f>
        <v>3833598.9292598576</v>
      </c>
      <c r="K149" s="151">
        <f t="shared" si="84"/>
        <v>8762976.5424125157</v>
      </c>
      <c r="L149" s="151">
        <f t="shared" si="84"/>
        <v>540615.85688603367</v>
      </c>
      <c r="M149" s="151">
        <f t="shared" si="84"/>
        <v>7410820.0107909292</v>
      </c>
      <c r="N149" s="151">
        <f t="shared" si="84"/>
        <v>1159804.1410411992</v>
      </c>
      <c r="O149" s="151">
        <f t="shared" si="84"/>
        <v>568254.39758366812</v>
      </c>
      <c r="P149" s="151">
        <f t="shared" si="84"/>
        <v>182912.705612063</v>
      </c>
      <c r="Q149" s="151">
        <f t="shared" si="84"/>
        <v>1327484.7680368985</v>
      </c>
      <c r="R149" s="151">
        <f t="shared" si="84"/>
        <v>990558.06978725351</v>
      </c>
      <c r="S149" s="151">
        <f t="shared" si="84"/>
        <v>5521879.3086785106</v>
      </c>
      <c r="T149" s="151">
        <f t="shared" si="84"/>
        <v>942635.37582683435</v>
      </c>
      <c r="U149" s="151">
        <f t="shared" si="84"/>
        <v>435074.01406737108</v>
      </c>
      <c r="V149" s="151">
        <f t="shared" si="84"/>
        <v>339798.77840027609</v>
      </c>
      <c r="W149" s="151">
        <f t="shared" si="84"/>
        <v>321763.70880157402</v>
      </c>
      <c r="X149" s="151">
        <f t="shared" si="84"/>
        <v>1284132.8618635267</v>
      </c>
      <c r="Y149" s="151">
        <f t="shared" si="84"/>
        <v>0</v>
      </c>
      <c r="Z149" s="151">
        <f t="shared" si="84"/>
        <v>0</v>
      </c>
      <c r="AA149" s="151">
        <f t="shared" si="84"/>
        <v>324019.53342427639</v>
      </c>
      <c r="AB149" s="151">
        <f t="shared" si="84"/>
        <v>463015.56040864467</v>
      </c>
      <c r="AC149" s="151">
        <f t="shared" si="84"/>
        <v>1836912.6025060094</v>
      </c>
      <c r="AD149" s="151">
        <f t="shared" si="84"/>
        <v>362760.35278500448</v>
      </c>
      <c r="AE149" s="151">
        <f t="shared" si="84"/>
        <v>0</v>
      </c>
      <c r="AF149" s="151">
        <f t="shared" si="84"/>
        <v>0</v>
      </c>
      <c r="AG149" s="151">
        <f t="shared" si="84"/>
        <v>0</v>
      </c>
      <c r="AH149" s="151">
        <f t="shared" si="84"/>
        <v>0</v>
      </c>
      <c r="AI149" s="151">
        <f t="shared" si="84"/>
        <v>0</v>
      </c>
      <c r="AJ149" s="151">
        <f t="shared" si="84"/>
        <v>0</v>
      </c>
      <c r="AK149" s="151">
        <f t="shared" si="84"/>
        <v>0</v>
      </c>
      <c r="AL149" s="151">
        <f t="shared" si="84"/>
        <v>0</v>
      </c>
      <c r="AM149" s="151">
        <f t="shared" si="84"/>
        <v>0</v>
      </c>
      <c r="AN149" s="151">
        <f t="shared" si="84"/>
        <v>0</v>
      </c>
      <c r="AO149" s="151">
        <f t="shared" si="84"/>
        <v>0</v>
      </c>
      <c r="AP149" s="151">
        <f t="shared" ref="AP149" si="85">AP46 + AP98</f>
        <v>0</v>
      </c>
      <c r="AQ149" s="151">
        <f t="shared" si="84"/>
        <v>0</v>
      </c>
      <c r="AR149" s="151">
        <f t="shared" ref="AR149" si="86">AR46 + AR98</f>
        <v>0</v>
      </c>
      <c r="AS149" s="65"/>
      <c r="AT149" s="39"/>
    </row>
    <row r="150" spans="1:46" x14ac:dyDescent="0.25">
      <c r="A150" s="39"/>
      <c r="B150" s="39"/>
      <c r="C150" s="39"/>
      <c r="D150" s="39"/>
      <c r="E150" s="39"/>
      <c r="F150" s="101" t="s">
        <v>284</v>
      </c>
      <c r="G150" s="101" t="str">
        <f>G$19</f>
        <v>£ per year</v>
      </c>
      <c r="H150" s="110"/>
      <c r="I150" s="110"/>
      <c r="J150" s="151">
        <f t="shared" ref="J150:AQ150" si="87">J47 + J99</f>
        <v>0</v>
      </c>
      <c r="K150" s="151">
        <f t="shared" si="87"/>
        <v>7079944.7438768167</v>
      </c>
      <c r="L150" s="151">
        <f t="shared" si="87"/>
        <v>85636.741030859237</v>
      </c>
      <c r="M150" s="151">
        <f t="shared" si="87"/>
        <v>573317.56265834766</v>
      </c>
      <c r="N150" s="151">
        <f t="shared" si="87"/>
        <v>5348169.1650450192</v>
      </c>
      <c r="O150" s="151">
        <f t="shared" si="87"/>
        <v>-150163.94337602842</v>
      </c>
      <c r="P150" s="151">
        <f t="shared" si="87"/>
        <v>28974.451641095951</v>
      </c>
      <c r="Q150" s="151">
        <f t="shared" si="87"/>
        <v>210281.41859840255</v>
      </c>
      <c r="R150" s="151">
        <f t="shared" si="87"/>
        <v>156910.24193595067</v>
      </c>
      <c r="S150" s="151">
        <f t="shared" si="87"/>
        <v>874698.25817678112</v>
      </c>
      <c r="T150" s="151">
        <f t="shared" si="87"/>
        <v>149319.00449828393</v>
      </c>
      <c r="U150" s="151">
        <f t="shared" si="87"/>
        <v>68918.290496607151</v>
      </c>
      <c r="V150" s="151">
        <f t="shared" si="87"/>
        <v>53826.131101813269</v>
      </c>
      <c r="W150" s="151">
        <f t="shared" si="87"/>
        <v>50969.269681592006</v>
      </c>
      <c r="X150" s="151">
        <f t="shared" si="87"/>
        <v>203414.22091103287</v>
      </c>
      <c r="Y150" s="151">
        <f t="shared" si="87"/>
        <v>0</v>
      </c>
      <c r="Z150" s="151">
        <f t="shared" si="87"/>
        <v>0</v>
      </c>
      <c r="AA150" s="151">
        <f t="shared" si="87"/>
        <v>51326.605609801976</v>
      </c>
      <c r="AB150" s="151">
        <f t="shared" si="87"/>
        <v>73344.396274954357</v>
      </c>
      <c r="AC150" s="151">
        <f t="shared" si="87"/>
        <v>290977.79288832529</v>
      </c>
      <c r="AD150" s="151">
        <f t="shared" si="87"/>
        <v>57463.379943480744</v>
      </c>
      <c r="AE150" s="151">
        <f t="shared" si="87"/>
        <v>0</v>
      </c>
      <c r="AF150" s="151">
        <f t="shared" si="87"/>
        <v>0</v>
      </c>
      <c r="AG150" s="151">
        <f t="shared" si="87"/>
        <v>0</v>
      </c>
      <c r="AH150" s="151">
        <f t="shared" si="87"/>
        <v>0</v>
      </c>
      <c r="AI150" s="151">
        <f t="shared" si="87"/>
        <v>0</v>
      </c>
      <c r="AJ150" s="151">
        <f t="shared" si="87"/>
        <v>0</v>
      </c>
      <c r="AK150" s="151">
        <f t="shared" si="87"/>
        <v>0</v>
      </c>
      <c r="AL150" s="151">
        <f t="shared" si="87"/>
        <v>0</v>
      </c>
      <c r="AM150" s="151">
        <f t="shared" si="87"/>
        <v>0</v>
      </c>
      <c r="AN150" s="151">
        <f t="shared" si="87"/>
        <v>0</v>
      </c>
      <c r="AO150" s="151">
        <f t="shared" si="87"/>
        <v>0</v>
      </c>
      <c r="AP150" s="151">
        <f t="shared" ref="AP150" si="88">AP47 + AP99</f>
        <v>0</v>
      </c>
      <c r="AQ150" s="151">
        <f t="shared" si="87"/>
        <v>0</v>
      </c>
      <c r="AR150" s="151">
        <f t="shared" ref="AR150" si="89">AR47 + AR99</f>
        <v>0</v>
      </c>
      <c r="AS150" s="65"/>
      <c r="AT150" s="39"/>
    </row>
    <row r="151" spans="1:46" x14ac:dyDescent="0.25">
      <c r="A151" s="39"/>
      <c r="B151" s="39"/>
      <c r="C151" s="39"/>
      <c r="D151" s="39"/>
      <c r="E151" s="39"/>
      <c r="F151" s="101" t="s">
        <v>285</v>
      </c>
      <c r="G151" s="101" t="str">
        <f>G$19</f>
        <v>£ per year</v>
      </c>
      <c r="H151" s="110"/>
      <c r="I151" s="110"/>
      <c r="J151" s="151">
        <f t="shared" ref="J151:AQ151" si="90">J48 + J100</f>
        <v>5609437.7182151098</v>
      </c>
      <c r="K151" s="151">
        <f t="shared" si="90"/>
        <v>26411853.807042159</v>
      </c>
      <c r="L151" s="151">
        <f t="shared" si="90"/>
        <v>318603.58297421131</v>
      </c>
      <c r="M151" s="151">
        <f t="shared" si="90"/>
        <v>5245586.3421307728</v>
      </c>
      <c r="N151" s="151">
        <f t="shared" si="90"/>
        <v>674811.15615022508</v>
      </c>
      <c r="O151" s="151">
        <f t="shared" si="90"/>
        <v>4723376.4642617209</v>
      </c>
      <c r="P151" s="151">
        <f t="shared" si="90"/>
        <v>107796.77036331475</v>
      </c>
      <c r="Q151" s="151">
        <f t="shared" si="90"/>
        <v>782332.58986594109</v>
      </c>
      <c r="R151" s="151">
        <f t="shared" si="90"/>
        <v>583770.05808908038</v>
      </c>
      <c r="S151" s="151">
        <f t="shared" si="90"/>
        <v>3254234.0556374164</v>
      </c>
      <c r="T151" s="151">
        <f t="shared" si="90"/>
        <v>555527.56056133052</v>
      </c>
      <c r="U151" s="151">
        <f t="shared" si="90"/>
        <v>256404.13238943947</v>
      </c>
      <c r="V151" s="151">
        <f t="shared" si="90"/>
        <v>200255.14773498467</v>
      </c>
      <c r="W151" s="151">
        <f t="shared" si="90"/>
        <v>189626.4587682327</v>
      </c>
      <c r="X151" s="151">
        <f t="shared" si="90"/>
        <v>756783.81533469423</v>
      </c>
      <c r="Y151" s="151">
        <f t="shared" si="90"/>
        <v>0</v>
      </c>
      <c r="Z151" s="151">
        <f t="shared" si="90"/>
        <v>0</v>
      </c>
      <c r="AA151" s="151">
        <f t="shared" si="90"/>
        <v>190955.89407465202</v>
      </c>
      <c r="AB151" s="151">
        <f t="shared" si="90"/>
        <v>272871.05000714894</v>
      </c>
      <c r="AC151" s="151">
        <f t="shared" si="90"/>
        <v>1082555.9948240155</v>
      </c>
      <c r="AD151" s="151">
        <f t="shared" si="90"/>
        <v>213787.19600275409</v>
      </c>
      <c r="AE151" s="151">
        <f t="shared" si="90"/>
        <v>0</v>
      </c>
      <c r="AF151" s="151">
        <f t="shared" si="90"/>
        <v>0</v>
      </c>
      <c r="AG151" s="151">
        <f t="shared" si="90"/>
        <v>0</v>
      </c>
      <c r="AH151" s="151">
        <f t="shared" si="90"/>
        <v>0</v>
      </c>
      <c r="AI151" s="151">
        <f t="shared" si="90"/>
        <v>0</v>
      </c>
      <c r="AJ151" s="151">
        <f t="shared" si="90"/>
        <v>0</v>
      </c>
      <c r="AK151" s="151">
        <f t="shared" si="90"/>
        <v>0</v>
      </c>
      <c r="AL151" s="151">
        <f t="shared" si="90"/>
        <v>0</v>
      </c>
      <c r="AM151" s="151">
        <f t="shared" si="90"/>
        <v>0</v>
      </c>
      <c r="AN151" s="151">
        <f t="shared" si="90"/>
        <v>0</v>
      </c>
      <c r="AO151" s="151">
        <f t="shared" si="90"/>
        <v>0</v>
      </c>
      <c r="AP151" s="151">
        <f t="shared" ref="AP151" si="91">AP48 + AP100</f>
        <v>0</v>
      </c>
      <c r="AQ151" s="151">
        <f t="shared" si="90"/>
        <v>0</v>
      </c>
      <c r="AR151" s="151">
        <f t="shared" ref="AR151" si="92">AR48 + AR100</f>
        <v>0</v>
      </c>
      <c r="AS151" s="65"/>
      <c r="AT151" s="39"/>
    </row>
    <row r="152" spans="1:46" x14ac:dyDescent="0.25">
      <c r="A152" s="39"/>
      <c r="B152" s="39"/>
      <c r="C152" s="39"/>
      <c r="D152" s="39"/>
      <c r="E152" s="39"/>
      <c r="F152" s="103" t="s">
        <v>286</v>
      </c>
      <c r="G152" s="103" t="str">
        <f>G$19</f>
        <v>£ per year</v>
      </c>
      <c r="H152" s="126"/>
      <c r="I152" s="127"/>
      <c r="J152" s="152">
        <f t="shared" ref="J152:AQ152" si="93">J49 + J101</f>
        <v>10180000</v>
      </c>
      <c r="K152" s="152">
        <f t="shared" si="93"/>
        <v>35325674.108210169</v>
      </c>
      <c r="L152" s="152">
        <f t="shared" si="93"/>
        <v>780345.13357043115</v>
      </c>
      <c r="M152" s="152">
        <f t="shared" si="93"/>
        <v>2632675.2866763505</v>
      </c>
      <c r="N152" s="152">
        <f t="shared" si="93"/>
        <v>3288486.504916654</v>
      </c>
      <c r="O152" s="152">
        <f t="shared" si="93"/>
        <v>-827073.09047346294</v>
      </c>
      <c r="P152" s="152">
        <f t="shared" si="93"/>
        <v>264023.03571843618</v>
      </c>
      <c r="Q152" s="152">
        <f t="shared" si="93"/>
        <v>1916141.1294764187</v>
      </c>
      <c r="R152" s="152">
        <f t="shared" si="93"/>
        <v>1429808.5404482556</v>
      </c>
      <c r="S152" s="152">
        <f t="shared" si="93"/>
        <v>7970486.9766683513</v>
      </c>
      <c r="T152" s="152">
        <f t="shared" si="93"/>
        <v>1360635.1328552896</v>
      </c>
      <c r="U152" s="152">
        <f t="shared" si="93"/>
        <v>628002.09297596954</v>
      </c>
      <c r="V152" s="152">
        <f t="shared" si="93"/>
        <v>490478.25686276681</v>
      </c>
      <c r="W152" s="152">
        <f t="shared" si="93"/>
        <v>464445.76333581866</v>
      </c>
      <c r="X152" s="152">
        <f t="shared" si="93"/>
        <v>1853565.3678103597</v>
      </c>
      <c r="Y152" s="152">
        <f t="shared" si="93"/>
        <v>0</v>
      </c>
      <c r="Z152" s="152">
        <f t="shared" si="93"/>
        <v>0</v>
      </c>
      <c r="AA152" s="152">
        <f t="shared" si="93"/>
        <v>467701.90490860509</v>
      </c>
      <c r="AB152" s="152">
        <f t="shared" si="93"/>
        <v>668333.96529180871</v>
      </c>
      <c r="AC152" s="152">
        <f t="shared" si="93"/>
        <v>2651468.3058250332</v>
      </c>
      <c r="AD152" s="152">
        <f t="shared" si="93"/>
        <v>523621.85152801819</v>
      </c>
      <c r="AE152" s="152">
        <f t="shared" si="93"/>
        <v>0</v>
      </c>
      <c r="AF152" s="152">
        <f t="shared" si="93"/>
        <v>0</v>
      </c>
      <c r="AG152" s="152">
        <f t="shared" si="93"/>
        <v>0</v>
      </c>
      <c r="AH152" s="152">
        <f t="shared" si="93"/>
        <v>0</v>
      </c>
      <c r="AI152" s="152">
        <f t="shared" si="93"/>
        <v>0</v>
      </c>
      <c r="AJ152" s="152">
        <f t="shared" si="93"/>
        <v>0</v>
      </c>
      <c r="AK152" s="152">
        <f t="shared" si="93"/>
        <v>0</v>
      </c>
      <c r="AL152" s="152">
        <f t="shared" si="93"/>
        <v>0</v>
      </c>
      <c r="AM152" s="152">
        <f t="shared" si="93"/>
        <v>0</v>
      </c>
      <c r="AN152" s="152">
        <f t="shared" si="93"/>
        <v>0</v>
      </c>
      <c r="AO152" s="152">
        <f t="shared" si="93"/>
        <v>0</v>
      </c>
      <c r="AP152" s="152">
        <f t="shared" ref="AP152" si="94">AP49 + AP101</f>
        <v>0</v>
      </c>
      <c r="AQ152" s="152">
        <f t="shared" si="93"/>
        <v>0</v>
      </c>
      <c r="AR152" s="152">
        <f t="shared" ref="AR152" si="95">AR49 + AR101</f>
        <v>0</v>
      </c>
      <c r="AS152" s="65"/>
      <c r="AT152" s="39"/>
    </row>
    <row r="153" spans="1:46" x14ac:dyDescent="0.25">
      <c r="A153" s="39"/>
      <c r="B153" s="39"/>
      <c r="C153" s="39"/>
      <c r="D153" s="39"/>
      <c r="E153" s="39"/>
      <c r="F153" s="39"/>
      <c r="G153" s="39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39"/>
    </row>
    <row r="154" spans="1:46" x14ac:dyDescent="0.25">
      <c r="A154" s="39"/>
      <c r="B154" s="39"/>
      <c r="C154" s="95"/>
      <c r="D154" s="95"/>
      <c r="E154" s="101" t="s">
        <v>492</v>
      </c>
      <c r="F154" s="39"/>
      <c r="G154" s="101" t="s">
        <v>231</v>
      </c>
      <c r="H154" s="116">
        <f>IF(SUM(J141:AR145) = 0, 1, 0) + IF(SUM(J148:AR152) = 0, 1, 0)</f>
        <v>0</v>
      </c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65"/>
      <c r="AT154" s="39"/>
    </row>
    <row r="155" spans="1:46" x14ac:dyDescent="0.25">
      <c r="A155" s="39"/>
      <c r="B155" s="39"/>
      <c r="C155" s="39"/>
      <c r="D155" s="39"/>
      <c r="E155" s="101" t="s">
        <v>524</v>
      </c>
      <c r="F155" s="39"/>
      <c r="G155" s="101" t="s">
        <v>231</v>
      </c>
      <c r="H155" s="116">
        <f>IF(ROUND(SUM(J141:AR145) - SUM(J148:AR152), 2) = 0, 0, 1)</f>
        <v>0</v>
      </c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65"/>
      <c r="AT155" s="39"/>
    </row>
    <row r="156" spans="1:46" x14ac:dyDescent="0.25">
      <c r="A156" s="39"/>
      <c r="B156" s="39"/>
      <c r="C156" s="39"/>
      <c r="D156" s="39"/>
      <c r="E156" s="39"/>
      <c r="F156" s="39"/>
      <c r="G156" s="39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39"/>
    </row>
    <row r="157" spans="1:46" x14ac:dyDescent="0.25">
      <c r="A157" s="39"/>
      <c r="B157" s="93" t="s">
        <v>242</v>
      </c>
      <c r="C157" s="93"/>
      <c r="D157" s="93"/>
      <c r="E157" s="93"/>
      <c r="F157" s="93"/>
      <c r="G157" s="93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3"/>
    </row>
    <row r="158" spans="1:46" x14ac:dyDescent="0.25">
      <c r="A158" s="39"/>
      <c r="B158" s="39"/>
      <c r="C158" s="39"/>
      <c r="D158" s="39"/>
      <c r="E158" s="95"/>
      <c r="F158" s="39"/>
      <c r="G158" s="39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39"/>
    </row>
    <row r="159" spans="1:46" x14ac:dyDescent="0.25">
      <c r="A159" s="39"/>
      <c r="B159" s="39"/>
      <c r="C159" s="95"/>
      <c r="D159" s="95"/>
      <c r="E159" s="101" t="s">
        <v>232</v>
      </c>
      <c r="F159" s="39"/>
      <c r="G159" s="101" t="s">
        <v>231</v>
      </c>
      <c r="H159" s="139">
        <f xml:space="preserve"> H131 + H154 + H155</f>
        <v>0</v>
      </c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65"/>
      <c r="AT159" s="39"/>
    </row>
    <row r="160" spans="1:46" x14ac:dyDescent="0.25">
      <c r="A160" s="39"/>
      <c r="B160" s="39"/>
      <c r="C160" s="39"/>
      <c r="D160" s="39"/>
      <c r="E160" s="95"/>
      <c r="F160" s="39"/>
      <c r="G160" s="39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39"/>
    </row>
    <row r="161" spans="1:46" x14ac:dyDescent="0.25">
      <c r="A161" s="39"/>
      <c r="B161" s="93" t="s">
        <v>30</v>
      </c>
      <c r="C161" s="93"/>
      <c r="D161" s="93"/>
      <c r="E161" s="93"/>
      <c r="F161" s="93"/>
      <c r="G161" s="93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3"/>
    </row>
  </sheetData>
  <sheetProtection sheet="1" formatCells="0" formatColumns="0" formatRows="0" sort="0" autoFilter="0"/>
  <conditionalFormatting sqref="H154">
    <cfRule type="cellIs" dxfId="35" priority="10" stopIfTrue="1" operator="greaterThan">
      <formula>0</formula>
    </cfRule>
  </conditionalFormatting>
  <conditionalFormatting sqref="H155">
    <cfRule type="cellIs" dxfId="34" priority="11" stopIfTrue="1" operator="greaterThan">
      <formula>0</formula>
    </cfRule>
  </conditionalFormatting>
  <conditionalFormatting sqref="H159">
    <cfRule type="cellIs" dxfId="33" priority="12" stopIfTrue="1" operator="greaterThan">
      <formula>0</formula>
    </cfRule>
  </conditionalFormatting>
  <conditionalFormatting sqref="A4:AO4 AQ4 AS4:XFD4">
    <cfRule type="expression" dxfId="32" priority="9">
      <formula>LEFT($A$4,1) &lt;&gt; "0"</formula>
    </cfRule>
  </conditionalFormatting>
  <conditionalFormatting sqref="AP4">
    <cfRule type="expression" dxfId="31" priority="8">
      <formula>LEFT($A$4,1) &lt;&gt; "0"</formula>
    </cfRule>
  </conditionalFormatting>
  <conditionalFormatting sqref="H131">
    <cfRule type="cellIs" dxfId="30" priority="7" stopIfTrue="1" operator="greaterThan">
      <formula>0</formula>
    </cfRule>
  </conditionalFormatting>
  <conditionalFormatting sqref="J130:AQ130">
    <cfRule type="cellIs" dxfId="29" priority="6" stopIfTrue="1" operator="greaterThan">
      <formula>0</formula>
    </cfRule>
  </conditionalFormatting>
  <conditionalFormatting sqref="AR4">
    <cfRule type="expression" dxfId="28" priority="5">
      <formula>LEFT($A$4,1) &lt;&gt; "0"</formula>
    </cfRule>
  </conditionalFormatting>
  <conditionalFormatting sqref="AR130">
    <cfRule type="cellIs" dxfId="27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AD6" activePane="bottomRight" state="frozenSplit"/>
      <selection pane="topRight"/>
      <selection pane="bottomLeft"/>
      <selection pane="bottomRight" activeCell="AR21" sqref="AR21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(West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H87 &amp; IF(H87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551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456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717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243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552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457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627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tr">
        <f>Expenditure!E140</f>
        <v>Total expenditure allocated, by network level and cost category (EDCM)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Expenditure!F141</f>
        <v>LV services (EDCM)</v>
      </c>
      <c r="G21" s="99" t="str">
        <f>Expenditure!G141</f>
        <v>£ per year</v>
      </c>
      <c r="H21" s="125"/>
      <c r="I21" s="125"/>
      <c r="J21" s="136">
        <f>Expenditure!J141</f>
        <v>0</v>
      </c>
      <c r="K21" s="136">
        <f>Expenditure!K141</f>
        <v>9103368.6923444569</v>
      </c>
      <c r="L21" s="136">
        <f>Expenditure!L141</f>
        <v>534016.3116760375</v>
      </c>
      <c r="M21" s="136">
        <f>Expenditure!M141</f>
        <v>7748328.1754485406</v>
      </c>
      <c r="N21" s="136">
        <f>Expenditure!N141</f>
        <v>1188916.1653368431</v>
      </c>
      <c r="O21" s="136">
        <f>Expenditure!O141</f>
        <v>648211.30841654877</v>
      </c>
      <c r="P21" s="136">
        <f>Expenditure!P141</f>
        <v>180679.80649378203</v>
      </c>
      <c r="Q21" s="136">
        <f>Expenditure!Q141</f>
        <v>1311279.5538711445</v>
      </c>
      <c r="R21" s="136">
        <f>Expenditure!R141</f>
        <v>978465.87404156779</v>
      </c>
      <c r="S21" s="136">
        <f>Expenditure!S141</f>
        <v>5454471.2005411116</v>
      </c>
      <c r="T21" s="136">
        <f>Expenditure!T141</f>
        <v>931128.19434099342</v>
      </c>
      <c r="U21" s="136">
        <f>Expenditure!U141</f>
        <v>429762.86644016148</v>
      </c>
      <c r="V21" s="136">
        <f>Expenditure!V141</f>
        <v>335650.69918323075</v>
      </c>
      <c r="W21" s="136">
        <f>Expenditure!W141</f>
        <v>317835.79193394189</v>
      </c>
      <c r="X21" s="136">
        <f>Expenditure!X141</f>
        <v>1268456.8642590083</v>
      </c>
      <c r="Y21" s="136">
        <f>Expenditure!Y141</f>
        <v>0</v>
      </c>
      <c r="Z21" s="136">
        <f>Expenditure!Z141</f>
        <v>0</v>
      </c>
      <c r="AA21" s="136">
        <f>Expenditure!AA141</f>
        <v>320064.07867296273</v>
      </c>
      <c r="AB21" s="136">
        <f>Expenditure!AB141</f>
        <v>457363.31753613724</v>
      </c>
      <c r="AC21" s="136">
        <f>Expenditure!AC141</f>
        <v>1814488.5695949553</v>
      </c>
      <c r="AD21" s="136">
        <f>Expenditure!AD141</f>
        <v>358331.97111971508</v>
      </c>
      <c r="AE21" s="136">
        <f>Expenditure!AE141</f>
        <v>0</v>
      </c>
      <c r="AF21" s="136">
        <f>Expenditure!AF141</f>
        <v>0</v>
      </c>
      <c r="AG21" s="136">
        <f>Expenditure!AG141</f>
        <v>0</v>
      </c>
      <c r="AH21" s="136">
        <f>Expenditure!AH141</f>
        <v>0</v>
      </c>
      <c r="AI21" s="136">
        <f>Expenditure!AI141</f>
        <v>0</v>
      </c>
      <c r="AJ21" s="136">
        <f>Expenditure!AJ141</f>
        <v>0</v>
      </c>
      <c r="AK21" s="136">
        <f>Expenditure!AK141</f>
        <v>0</v>
      </c>
      <c r="AL21" s="136">
        <f>Expenditure!AL141</f>
        <v>0</v>
      </c>
      <c r="AM21" s="136">
        <f>Expenditure!AM141</f>
        <v>0</v>
      </c>
      <c r="AN21" s="136">
        <f>Expenditure!AN141</f>
        <v>0</v>
      </c>
      <c r="AO21" s="136">
        <f>Expenditure!AO141</f>
        <v>0</v>
      </c>
      <c r="AP21" s="136">
        <f>Expenditure!AP141</f>
        <v>1450093.49</v>
      </c>
      <c r="AQ21" s="136">
        <f>Expenditure!AQ141</f>
        <v>0</v>
      </c>
      <c r="AR21" s="136">
        <f>Expenditure!AR141</f>
        <v>3904507.2984289345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Expenditure!F142</f>
        <v>LV mains (EDCM)</v>
      </c>
      <c r="G22" s="101" t="str">
        <f>Expenditure!G142</f>
        <v>£ per year</v>
      </c>
      <c r="H22" s="110"/>
      <c r="I22" s="110"/>
      <c r="J22" s="132">
        <f>Expenditure!J142</f>
        <v>3833598.9292598576</v>
      </c>
      <c r="K22" s="132">
        <f>Expenditure!K142</f>
        <v>8710507.9956243169</v>
      </c>
      <c r="L22" s="132">
        <f>Expenditure!L142</f>
        <v>510970.55495068419</v>
      </c>
      <c r="M22" s="132">
        <f>Expenditure!M142</f>
        <v>7413944.9698135881</v>
      </c>
      <c r="N22" s="132">
        <f>Expenditure!N142</f>
        <v>1137607.8586164021</v>
      </c>
      <c r="O22" s="132">
        <f>Expenditure!O142</f>
        <v>620237.40613347897</v>
      </c>
      <c r="P22" s="132">
        <f>Expenditure!P142</f>
        <v>172882.47376330607</v>
      </c>
      <c r="Q22" s="132">
        <f>Expenditure!Q142</f>
        <v>1254690.5903194526</v>
      </c>
      <c r="R22" s="132">
        <f>Expenditure!R142</f>
        <v>936239.66108854127</v>
      </c>
      <c r="S22" s="132">
        <f>Expenditure!S142</f>
        <v>5219080.607398754</v>
      </c>
      <c r="T22" s="132">
        <f>Expenditure!T142</f>
        <v>890944.86402370175</v>
      </c>
      <c r="U22" s="132">
        <f>Expenditure!U142</f>
        <v>411216.22235266987</v>
      </c>
      <c r="V22" s="132">
        <f>Expenditure!V142</f>
        <v>321165.51551197964</v>
      </c>
      <c r="W22" s="132">
        <f>Expenditure!W142</f>
        <v>304119.42001913936</v>
      </c>
      <c r="X22" s="132">
        <f>Expenditure!X142</f>
        <v>1213715.9365548156</v>
      </c>
      <c r="Y22" s="132">
        <f>Expenditure!Y142</f>
        <v>0</v>
      </c>
      <c r="Z22" s="132">
        <f>Expenditure!Z142</f>
        <v>0</v>
      </c>
      <c r="AA22" s="132">
        <f>Expenditure!AA142</f>
        <v>306251.54386392079</v>
      </c>
      <c r="AB22" s="132">
        <f>Expenditure!AB142</f>
        <v>437625.56136543694</v>
      </c>
      <c r="AC22" s="132">
        <f>Expenditure!AC142</f>
        <v>1736183.3544891148</v>
      </c>
      <c r="AD22" s="132">
        <f>Expenditure!AD142</f>
        <v>342867.96514689561</v>
      </c>
      <c r="AE22" s="132">
        <f>Expenditure!AE142</f>
        <v>0</v>
      </c>
      <c r="AF22" s="132">
        <f>Expenditure!AF142</f>
        <v>0</v>
      </c>
      <c r="AG22" s="132">
        <f>Expenditure!AG142</f>
        <v>0</v>
      </c>
      <c r="AH22" s="132">
        <f>Expenditure!AH142</f>
        <v>0</v>
      </c>
      <c r="AI22" s="132">
        <f>Expenditure!AI142</f>
        <v>0</v>
      </c>
      <c r="AJ22" s="132">
        <f>Expenditure!AJ142</f>
        <v>0</v>
      </c>
      <c r="AK22" s="132">
        <f>Expenditure!AK142</f>
        <v>0</v>
      </c>
      <c r="AL22" s="132">
        <f>Expenditure!AL142</f>
        <v>0</v>
      </c>
      <c r="AM22" s="132">
        <f>Expenditure!AM142</f>
        <v>0</v>
      </c>
      <c r="AN22" s="132">
        <f>Expenditure!AN142</f>
        <v>0</v>
      </c>
      <c r="AO22" s="132">
        <f>Expenditure!AO142</f>
        <v>0</v>
      </c>
      <c r="AP22" s="132">
        <f>Expenditure!AP142</f>
        <v>0</v>
      </c>
      <c r="AQ22" s="132">
        <f>Expenditure!AQ142</f>
        <v>0</v>
      </c>
      <c r="AR22" s="132">
        <f>Expenditure!AR142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Expenditure!F143</f>
        <v>HV/LV (EDCM)</v>
      </c>
      <c r="G23" s="101" t="str">
        <f>Expenditure!G143</f>
        <v>£ per year</v>
      </c>
      <c r="H23" s="110"/>
      <c r="I23" s="110"/>
      <c r="J23" s="132">
        <f>Expenditure!J143</f>
        <v>0</v>
      </c>
      <c r="K23" s="132">
        <f>Expenditure!K143</f>
        <v>7071633.4165335018</v>
      </c>
      <c r="L23" s="132">
        <f>Expenditure!L143</f>
        <v>80940.750315303259</v>
      </c>
      <c r="M23" s="132">
        <f>Expenditure!M143</f>
        <v>573812.57460286759</v>
      </c>
      <c r="N23" s="132">
        <f>Expenditure!N143</f>
        <v>5344653.1429645559</v>
      </c>
      <c r="O23" s="132">
        <f>Expenditure!O143</f>
        <v>-141929.52815405032</v>
      </c>
      <c r="P23" s="132">
        <f>Expenditure!P143</f>
        <v>27385.603744071454</v>
      </c>
      <c r="Q23" s="132">
        <f>Expenditure!Q143</f>
        <v>198750.39140720898</v>
      </c>
      <c r="R23" s="132">
        <f>Expenditure!R143</f>
        <v>148305.88555296612</v>
      </c>
      <c r="S23" s="132">
        <f>Expenditure!S143</f>
        <v>826733.15756849211</v>
      </c>
      <c r="T23" s="132">
        <f>Expenditure!T143</f>
        <v>141130.92248653006</v>
      </c>
      <c r="U23" s="132">
        <f>Expenditure!U143</f>
        <v>65139.07554274251</v>
      </c>
      <c r="V23" s="132">
        <f>Expenditure!V143</f>
        <v>50874.512335548803</v>
      </c>
      <c r="W23" s="132">
        <f>Expenditure!W143</f>
        <v>48174.310248033289</v>
      </c>
      <c r="X23" s="132">
        <f>Expenditure!X143</f>
        <v>192259.76452570583</v>
      </c>
      <c r="Y23" s="132">
        <f>Expenditure!Y143</f>
        <v>0</v>
      </c>
      <c r="Z23" s="132">
        <f>Expenditure!Z143</f>
        <v>0</v>
      </c>
      <c r="AA23" s="132">
        <f>Expenditure!AA143</f>
        <v>48512.051243262285</v>
      </c>
      <c r="AB23" s="132">
        <f>Expenditure!AB143</f>
        <v>69322.470641176085</v>
      </c>
      <c r="AC23" s="132">
        <f>Expenditure!AC143</f>
        <v>275021.68576201424</v>
      </c>
      <c r="AD23" s="132">
        <f>Expenditure!AD143</f>
        <v>54312.30838878658</v>
      </c>
      <c r="AE23" s="132">
        <f>Expenditure!AE143</f>
        <v>0</v>
      </c>
      <c r="AF23" s="132">
        <f>Expenditure!AF143</f>
        <v>0</v>
      </c>
      <c r="AG23" s="132">
        <f>Expenditure!AG143</f>
        <v>0</v>
      </c>
      <c r="AH23" s="132">
        <f>Expenditure!AH143</f>
        <v>0</v>
      </c>
      <c r="AI23" s="132">
        <f>Expenditure!AI143</f>
        <v>0</v>
      </c>
      <c r="AJ23" s="132">
        <f>Expenditure!AJ143</f>
        <v>0</v>
      </c>
      <c r="AK23" s="132">
        <f>Expenditure!AK143</f>
        <v>0</v>
      </c>
      <c r="AL23" s="132">
        <f>Expenditure!AL143</f>
        <v>0</v>
      </c>
      <c r="AM23" s="132">
        <f>Expenditure!AM143</f>
        <v>0</v>
      </c>
      <c r="AN23" s="132">
        <f>Expenditure!AN143</f>
        <v>0</v>
      </c>
      <c r="AO23" s="132">
        <f>Expenditure!AO143</f>
        <v>0</v>
      </c>
      <c r="AP23" s="132">
        <f>Expenditure!AP143</f>
        <v>0</v>
      </c>
      <c r="AQ23" s="132">
        <f>Expenditure!AQ143</f>
        <v>0</v>
      </c>
      <c r="AR23" s="132">
        <f>Expenditure!AR143</f>
        <v>0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1" t="str">
        <f>Expenditure!F144</f>
        <v>HV (EDCM)</v>
      </c>
      <c r="G24" s="101" t="str">
        <f>Expenditure!G144</f>
        <v>£ per year</v>
      </c>
      <c r="H24" s="110"/>
      <c r="I24" s="110"/>
      <c r="J24" s="132">
        <f>Expenditure!J144</f>
        <v>5609437.7182151098</v>
      </c>
      <c r="K24" s="132">
        <f>Expenditure!K144</f>
        <v>26380932.281549994</v>
      </c>
      <c r="L24" s="132">
        <f>Expenditure!L144</f>
        <v>301132.58338245167</v>
      </c>
      <c r="M24" s="132">
        <f>Expenditure!M144</f>
        <v>5247427.9883359019</v>
      </c>
      <c r="N24" s="132">
        <f>Expenditure!N144</f>
        <v>661730.120847299</v>
      </c>
      <c r="O24" s="132">
        <f>Expenditure!O144</f>
        <v>4754011.845312411</v>
      </c>
      <c r="P24" s="132">
        <f>Expenditure!P144</f>
        <v>101885.60855706815</v>
      </c>
      <c r="Q24" s="132">
        <f>Expenditure!Q144</f>
        <v>739432.4685597897</v>
      </c>
      <c r="R24" s="132">
        <f>Expenditure!R144</f>
        <v>551758.34512795729</v>
      </c>
      <c r="S24" s="132">
        <f>Expenditure!S144</f>
        <v>3075784.3303493815</v>
      </c>
      <c r="T24" s="132">
        <f>Expenditure!T144</f>
        <v>525064.55793852627</v>
      </c>
      <c r="U24" s="132">
        <f>Expenditure!U144</f>
        <v>242343.91231757676</v>
      </c>
      <c r="V24" s="132">
        <f>Expenditure!V144</f>
        <v>189273.92281696838</v>
      </c>
      <c r="W24" s="132">
        <f>Expenditure!W144</f>
        <v>179228.07042369616</v>
      </c>
      <c r="X24" s="132">
        <f>Expenditure!X144</f>
        <v>715284.69092016132</v>
      </c>
      <c r="Y24" s="132">
        <f>Expenditure!Y144</f>
        <v>0</v>
      </c>
      <c r="Z24" s="132">
        <f>Expenditure!Z144</f>
        <v>0</v>
      </c>
      <c r="AA24" s="132">
        <f>Expenditure!AA144</f>
        <v>180484.60459234766</v>
      </c>
      <c r="AB24" s="132">
        <f>Expenditure!AB144</f>
        <v>257907.84727485638</v>
      </c>
      <c r="AC24" s="132">
        <f>Expenditure!AC144</f>
        <v>1023192.7724551127</v>
      </c>
      <c r="AD24" s="132">
        <f>Expenditure!AD144</f>
        <v>202063.92541295072</v>
      </c>
      <c r="AE24" s="132">
        <f>Expenditure!AE144</f>
        <v>0</v>
      </c>
      <c r="AF24" s="132">
        <f>Expenditure!AF144</f>
        <v>0</v>
      </c>
      <c r="AG24" s="132">
        <f>Expenditure!AG144</f>
        <v>0</v>
      </c>
      <c r="AH24" s="132">
        <f>Expenditure!AH144</f>
        <v>0</v>
      </c>
      <c r="AI24" s="132">
        <f>Expenditure!AI144</f>
        <v>0</v>
      </c>
      <c r="AJ24" s="132">
        <f>Expenditure!AJ144</f>
        <v>0</v>
      </c>
      <c r="AK24" s="132">
        <f>Expenditure!AK144</f>
        <v>0</v>
      </c>
      <c r="AL24" s="132">
        <f>Expenditure!AL144</f>
        <v>0</v>
      </c>
      <c r="AM24" s="132">
        <f>Expenditure!AM144</f>
        <v>0</v>
      </c>
      <c r="AN24" s="132">
        <f>Expenditure!AN144</f>
        <v>0</v>
      </c>
      <c r="AO24" s="132">
        <f>Expenditure!AO144</f>
        <v>0</v>
      </c>
      <c r="AP24" s="132">
        <f>Expenditure!AP144</f>
        <v>0</v>
      </c>
      <c r="AQ24" s="132">
        <f>Expenditure!AQ144</f>
        <v>0</v>
      </c>
      <c r="AR24" s="132">
        <f>Expenditure!AR144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103" t="str">
        <f>Expenditure!F145</f>
        <v>EHV and 132kV (EDCM)</v>
      </c>
      <c r="G25" s="103" t="str">
        <f>Expenditure!G145</f>
        <v>£ per year</v>
      </c>
      <c r="H25" s="126"/>
      <c r="I25" s="127"/>
      <c r="J25" s="142">
        <f>Expenditure!J145</f>
        <v>10180000</v>
      </c>
      <c r="K25" s="142">
        <f>Expenditure!K145</f>
        <v>35472210.487194926</v>
      </c>
      <c r="L25" s="142">
        <f>Expenditure!L145</f>
        <v>863139.78799552319</v>
      </c>
      <c r="M25" s="142">
        <f>Expenditure!M145</f>
        <v>2623947.7688073181</v>
      </c>
      <c r="N25" s="142">
        <f>Expenditure!N145</f>
        <v>3350477.2222617008</v>
      </c>
      <c r="O25" s="142">
        <f>Expenditure!O145</f>
        <v>-972253.4377083861</v>
      </c>
      <c r="P25" s="142">
        <f>Expenditure!P145</f>
        <v>292035.89190497209</v>
      </c>
      <c r="Q25" s="142">
        <f>Expenditure!Q145</f>
        <v>2119443.7911061868</v>
      </c>
      <c r="R25" s="142">
        <f>Expenditure!R145</f>
        <v>1581511.2920997129</v>
      </c>
      <c r="S25" s="142">
        <f>Expenditure!S145</f>
        <v>8816156.0100786686</v>
      </c>
      <c r="T25" s="142">
        <f>Expenditure!T145</f>
        <v>1504998.5827917978</v>
      </c>
      <c r="U25" s="142">
        <f>Expenditure!U145</f>
        <v>694633.14381404966</v>
      </c>
      <c r="V25" s="142">
        <f>Expenditure!V145</f>
        <v>542518.02238827199</v>
      </c>
      <c r="W25" s="142">
        <f>Expenditure!W145</f>
        <v>513723.48010537733</v>
      </c>
      <c r="X25" s="142">
        <f>Expenditure!X145</f>
        <v>2050228.7382603094</v>
      </c>
      <c r="Y25" s="142">
        <f>Expenditure!Y145</f>
        <v>0</v>
      </c>
      <c r="Z25" s="142">
        <f>Expenditure!Z145</f>
        <v>0</v>
      </c>
      <c r="AA25" s="142">
        <f>Expenditure!AA145</f>
        <v>517325.09844822384</v>
      </c>
      <c r="AB25" s="142">
        <f>Expenditure!AB145</f>
        <v>739244.22963049496</v>
      </c>
      <c r="AC25" s="142">
        <f>Expenditure!AC145</f>
        <v>2932789.2145560593</v>
      </c>
      <c r="AD25" s="142">
        <f>Expenditure!AD145</f>
        <v>579178.1539660549</v>
      </c>
      <c r="AE25" s="142">
        <f>Expenditure!AE145</f>
        <v>0</v>
      </c>
      <c r="AF25" s="142">
        <f>Expenditure!AF145</f>
        <v>0</v>
      </c>
      <c r="AG25" s="142">
        <f>Expenditure!AG145</f>
        <v>0</v>
      </c>
      <c r="AH25" s="142">
        <f>Expenditure!AH145</f>
        <v>0</v>
      </c>
      <c r="AI25" s="142">
        <f>Expenditure!AI145</f>
        <v>0</v>
      </c>
      <c r="AJ25" s="142">
        <f>Expenditure!AJ145</f>
        <v>0</v>
      </c>
      <c r="AK25" s="142">
        <f>Expenditure!AK145</f>
        <v>0</v>
      </c>
      <c r="AL25" s="142">
        <f>Expenditure!AL145</f>
        <v>0</v>
      </c>
      <c r="AM25" s="142">
        <f>Expenditure!AM145</f>
        <v>0</v>
      </c>
      <c r="AN25" s="142">
        <f>Expenditure!AN145</f>
        <v>0</v>
      </c>
      <c r="AO25" s="142">
        <f>Expenditure!AO145</f>
        <v>0</v>
      </c>
      <c r="AP25" s="142">
        <f>Expenditure!AP145</f>
        <v>0</v>
      </c>
      <c r="AQ25" s="142">
        <f>Expenditure!AQ145</f>
        <v>0</v>
      </c>
      <c r="AR25" s="142">
        <f>Expenditure!AR145</f>
        <v>0</v>
      </c>
      <c r="AS25" s="65"/>
      <c r="AT25" s="39"/>
    </row>
    <row r="26" spans="1:4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39"/>
    </row>
    <row r="27" spans="1:46" x14ac:dyDescent="0.25">
      <c r="A27" s="39"/>
      <c r="B27" s="39"/>
      <c r="C27" s="39"/>
      <c r="D27" s="39"/>
      <c r="E27" s="98" t="str">
        <f>Expenditure!E147</f>
        <v>Total expenditure allocated, by network level and cost category (CDCM)</v>
      </c>
      <c r="F27" s="39"/>
      <c r="G27" s="39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39"/>
    </row>
    <row r="28" spans="1:46" x14ac:dyDescent="0.25">
      <c r="A28" s="39"/>
      <c r="B28" s="39"/>
      <c r="C28" s="39"/>
      <c r="D28" s="39"/>
      <c r="E28" s="39"/>
      <c r="F28" s="99" t="str">
        <f>Expenditure!F148</f>
        <v>LV services (CDCM)</v>
      </c>
      <c r="G28" s="99" t="str">
        <f>Expenditure!G148</f>
        <v>£ per year</v>
      </c>
      <c r="H28" s="125"/>
      <c r="I28" s="125"/>
      <c r="J28" s="136">
        <f>Expenditure!J148</f>
        <v>0</v>
      </c>
      <c r="K28" s="136">
        <f>Expenditure!K148</f>
        <v>9158203.6717055291</v>
      </c>
      <c r="L28" s="136">
        <f>Expenditure!L148</f>
        <v>564998.67385846458</v>
      </c>
      <c r="M28" s="136">
        <f>Expenditure!M148</f>
        <v>7745062.2747518159</v>
      </c>
      <c r="N28" s="136">
        <f>Expenditure!N148</f>
        <v>1212113.5428737029</v>
      </c>
      <c r="O28" s="136">
        <f>Expenditure!O148</f>
        <v>593883.7660041037</v>
      </c>
      <c r="P28" s="136">
        <f>Expenditure!P148</f>
        <v>191162.42112828998</v>
      </c>
      <c r="Q28" s="136">
        <f>Expenditure!Q148</f>
        <v>1387356.8892861223</v>
      </c>
      <c r="R28" s="136">
        <f>Expenditure!R148</f>
        <v>1035234.1476502056</v>
      </c>
      <c r="S28" s="136">
        <f>Expenditure!S148</f>
        <v>5770926.7067753524</v>
      </c>
      <c r="T28" s="136">
        <f>Expenditure!T148</f>
        <v>985150.04783981142</v>
      </c>
      <c r="U28" s="136">
        <f>Expenditure!U148</f>
        <v>454696.69053781329</v>
      </c>
      <c r="V28" s="136">
        <f>Expenditure!V148</f>
        <v>355124.3581361589</v>
      </c>
      <c r="W28" s="136">
        <f>Expenditure!W148</f>
        <v>336275.87214297085</v>
      </c>
      <c r="X28" s="136">
        <f>Expenditure!X148</f>
        <v>1342049.7286003875</v>
      </c>
      <c r="Y28" s="136">
        <f>Expenditure!Y148</f>
        <v>0</v>
      </c>
      <c r="Z28" s="136">
        <f>Expenditure!Z148</f>
        <v>0</v>
      </c>
      <c r="AA28" s="136">
        <f>Expenditure!AA148</f>
        <v>338633.43880338199</v>
      </c>
      <c r="AB28" s="136">
        <f>Expenditure!AB148</f>
        <v>483898.45446554513</v>
      </c>
      <c r="AC28" s="136">
        <f>Expenditure!AC148</f>
        <v>1919760.9008138736</v>
      </c>
      <c r="AD28" s="136">
        <f>Expenditure!AD148</f>
        <v>379121.5437751456</v>
      </c>
      <c r="AE28" s="136">
        <f>Expenditure!AE148</f>
        <v>0</v>
      </c>
      <c r="AF28" s="136">
        <f>Expenditure!AF148</f>
        <v>0</v>
      </c>
      <c r="AG28" s="136">
        <f>Expenditure!AG148</f>
        <v>0</v>
      </c>
      <c r="AH28" s="136">
        <f>Expenditure!AH148</f>
        <v>0</v>
      </c>
      <c r="AI28" s="136">
        <f>Expenditure!AI148</f>
        <v>0</v>
      </c>
      <c r="AJ28" s="136">
        <f>Expenditure!AJ148</f>
        <v>0</v>
      </c>
      <c r="AK28" s="136">
        <f>Expenditure!AK148</f>
        <v>0</v>
      </c>
      <c r="AL28" s="136">
        <f>Expenditure!AL148</f>
        <v>0</v>
      </c>
      <c r="AM28" s="136">
        <f>Expenditure!AM148</f>
        <v>0</v>
      </c>
      <c r="AN28" s="136">
        <f>Expenditure!AN148</f>
        <v>0</v>
      </c>
      <c r="AO28" s="136">
        <f>Expenditure!AO148</f>
        <v>0</v>
      </c>
      <c r="AP28" s="136">
        <f>Expenditure!AP148</f>
        <v>1450093.49</v>
      </c>
      <c r="AQ28" s="136">
        <f>Expenditure!AQ148</f>
        <v>0</v>
      </c>
      <c r="AR28" s="136">
        <f>Expenditure!AR148</f>
        <v>3904507.2984289345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tr">
        <f>Expenditure!F149</f>
        <v>LV mains (CDCM)</v>
      </c>
      <c r="G29" s="101" t="str">
        <f>Expenditure!G149</f>
        <v>£ per year</v>
      </c>
      <c r="H29" s="110"/>
      <c r="I29" s="110"/>
      <c r="J29" s="132">
        <f>Expenditure!J149</f>
        <v>3833598.9292598576</v>
      </c>
      <c r="K29" s="132">
        <f>Expenditure!K149</f>
        <v>8762976.5424125157</v>
      </c>
      <c r="L29" s="132">
        <f>Expenditure!L149</f>
        <v>540615.85688603367</v>
      </c>
      <c r="M29" s="132">
        <f>Expenditure!M149</f>
        <v>7410820.0107909292</v>
      </c>
      <c r="N29" s="132">
        <f>Expenditure!N149</f>
        <v>1159804.1410411992</v>
      </c>
      <c r="O29" s="132">
        <f>Expenditure!O149</f>
        <v>568254.39758366812</v>
      </c>
      <c r="P29" s="132">
        <f>Expenditure!P149</f>
        <v>182912.705612063</v>
      </c>
      <c r="Q29" s="132">
        <f>Expenditure!Q149</f>
        <v>1327484.7680368985</v>
      </c>
      <c r="R29" s="132">
        <f>Expenditure!R149</f>
        <v>990558.06978725351</v>
      </c>
      <c r="S29" s="132">
        <f>Expenditure!S149</f>
        <v>5521879.3086785106</v>
      </c>
      <c r="T29" s="132">
        <f>Expenditure!T149</f>
        <v>942635.37582683435</v>
      </c>
      <c r="U29" s="132">
        <f>Expenditure!U149</f>
        <v>435074.01406737108</v>
      </c>
      <c r="V29" s="132">
        <f>Expenditure!V149</f>
        <v>339798.77840027609</v>
      </c>
      <c r="W29" s="132">
        <f>Expenditure!W149</f>
        <v>321763.70880157402</v>
      </c>
      <c r="X29" s="132">
        <f>Expenditure!X149</f>
        <v>1284132.8618635267</v>
      </c>
      <c r="Y29" s="132">
        <f>Expenditure!Y149</f>
        <v>0</v>
      </c>
      <c r="Z29" s="132">
        <f>Expenditure!Z149</f>
        <v>0</v>
      </c>
      <c r="AA29" s="132">
        <f>Expenditure!AA149</f>
        <v>324019.53342427639</v>
      </c>
      <c r="AB29" s="132">
        <f>Expenditure!AB149</f>
        <v>463015.56040864467</v>
      </c>
      <c r="AC29" s="132">
        <f>Expenditure!AC149</f>
        <v>1836912.6025060094</v>
      </c>
      <c r="AD29" s="132">
        <f>Expenditure!AD149</f>
        <v>362760.35278500448</v>
      </c>
      <c r="AE29" s="132">
        <f>Expenditure!AE149</f>
        <v>0</v>
      </c>
      <c r="AF29" s="132">
        <f>Expenditure!AF149</f>
        <v>0</v>
      </c>
      <c r="AG29" s="132">
        <f>Expenditure!AG149</f>
        <v>0</v>
      </c>
      <c r="AH29" s="132">
        <f>Expenditure!AH149</f>
        <v>0</v>
      </c>
      <c r="AI29" s="132">
        <f>Expenditure!AI149</f>
        <v>0</v>
      </c>
      <c r="AJ29" s="132">
        <f>Expenditure!AJ149</f>
        <v>0</v>
      </c>
      <c r="AK29" s="132">
        <f>Expenditure!AK149</f>
        <v>0</v>
      </c>
      <c r="AL29" s="132">
        <f>Expenditure!AL149</f>
        <v>0</v>
      </c>
      <c r="AM29" s="132">
        <f>Expenditure!AM149</f>
        <v>0</v>
      </c>
      <c r="AN29" s="132">
        <f>Expenditure!AN149</f>
        <v>0</v>
      </c>
      <c r="AO29" s="132">
        <f>Expenditure!AO149</f>
        <v>0</v>
      </c>
      <c r="AP29" s="132">
        <f>Expenditure!AP149</f>
        <v>0</v>
      </c>
      <c r="AQ29" s="132">
        <f>Expenditure!AQ149</f>
        <v>0</v>
      </c>
      <c r="AR29" s="132">
        <f>Expenditure!AR149</f>
        <v>0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1" t="str">
        <f>Expenditure!F150</f>
        <v>HV/LV (CDCM)</v>
      </c>
      <c r="G30" s="101" t="str">
        <f>Expenditure!G150</f>
        <v>£ per year</v>
      </c>
      <c r="H30" s="110"/>
      <c r="I30" s="110"/>
      <c r="J30" s="132">
        <f>Expenditure!J150</f>
        <v>0</v>
      </c>
      <c r="K30" s="132">
        <f>Expenditure!K150</f>
        <v>7079944.7438768167</v>
      </c>
      <c r="L30" s="132">
        <f>Expenditure!L150</f>
        <v>85636.741030859237</v>
      </c>
      <c r="M30" s="132">
        <f>Expenditure!M150</f>
        <v>573317.56265834766</v>
      </c>
      <c r="N30" s="132">
        <f>Expenditure!N150</f>
        <v>5348169.1650450192</v>
      </c>
      <c r="O30" s="132">
        <f>Expenditure!O150</f>
        <v>-150163.94337602842</v>
      </c>
      <c r="P30" s="132">
        <f>Expenditure!P150</f>
        <v>28974.451641095951</v>
      </c>
      <c r="Q30" s="132">
        <f>Expenditure!Q150</f>
        <v>210281.41859840255</v>
      </c>
      <c r="R30" s="132">
        <f>Expenditure!R150</f>
        <v>156910.24193595067</v>
      </c>
      <c r="S30" s="132">
        <f>Expenditure!S150</f>
        <v>874698.25817678112</v>
      </c>
      <c r="T30" s="132">
        <f>Expenditure!T150</f>
        <v>149319.00449828393</v>
      </c>
      <c r="U30" s="132">
        <f>Expenditure!U150</f>
        <v>68918.290496607151</v>
      </c>
      <c r="V30" s="132">
        <f>Expenditure!V150</f>
        <v>53826.131101813269</v>
      </c>
      <c r="W30" s="132">
        <f>Expenditure!W150</f>
        <v>50969.269681592006</v>
      </c>
      <c r="X30" s="132">
        <f>Expenditure!X150</f>
        <v>203414.22091103287</v>
      </c>
      <c r="Y30" s="132">
        <f>Expenditure!Y150</f>
        <v>0</v>
      </c>
      <c r="Z30" s="132">
        <f>Expenditure!Z150</f>
        <v>0</v>
      </c>
      <c r="AA30" s="132">
        <f>Expenditure!AA150</f>
        <v>51326.605609801976</v>
      </c>
      <c r="AB30" s="132">
        <f>Expenditure!AB150</f>
        <v>73344.396274954357</v>
      </c>
      <c r="AC30" s="132">
        <f>Expenditure!AC150</f>
        <v>290977.79288832529</v>
      </c>
      <c r="AD30" s="132">
        <f>Expenditure!AD150</f>
        <v>57463.379943480744</v>
      </c>
      <c r="AE30" s="132">
        <f>Expenditure!AE150</f>
        <v>0</v>
      </c>
      <c r="AF30" s="132">
        <f>Expenditure!AF150</f>
        <v>0</v>
      </c>
      <c r="AG30" s="132">
        <f>Expenditure!AG150</f>
        <v>0</v>
      </c>
      <c r="AH30" s="132">
        <f>Expenditure!AH150</f>
        <v>0</v>
      </c>
      <c r="AI30" s="132">
        <f>Expenditure!AI150</f>
        <v>0</v>
      </c>
      <c r="AJ30" s="132">
        <f>Expenditure!AJ150</f>
        <v>0</v>
      </c>
      <c r="AK30" s="132">
        <f>Expenditure!AK150</f>
        <v>0</v>
      </c>
      <c r="AL30" s="132">
        <f>Expenditure!AL150</f>
        <v>0</v>
      </c>
      <c r="AM30" s="132">
        <f>Expenditure!AM150</f>
        <v>0</v>
      </c>
      <c r="AN30" s="132">
        <f>Expenditure!AN150</f>
        <v>0</v>
      </c>
      <c r="AO30" s="132">
        <f>Expenditure!AO150</f>
        <v>0</v>
      </c>
      <c r="AP30" s="132">
        <f>Expenditure!AP150</f>
        <v>0</v>
      </c>
      <c r="AQ30" s="132">
        <f>Expenditure!AQ150</f>
        <v>0</v>
      </c>
      <c r="AR30" s="132">
        <f>Expenditure!AR150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101" t="str">
        <f>Expenditure!F151</f>
        <v>HV (CDCM)</v>
      </c>
      <c r="G31" s="101" t="str">
        <f>Expenditure!G151</f>
        <v>£ per year</v>
      </c>
      <c r="H31" s="110"/>
      <c r="I31" s="110"/>
      <c r="J31" s="132">
        <f>Expenditure!J151</f>
        <v>5609437.7182151098</v>
      </c>
      <c r="K31" s="132">
        <f>Expenditure!K151</f>
        <v>26411853.807042159</v>
      </c>
      <c r="L31" s="132">
        <f>Expenditure!L151</f>
        <v>318603.58297421131</v>
      </c>
      <c r="M31" s="132">
        <f>Expenditure!M151</f>
        <v>5245586.3421307728</v>
      </c>
      <c r="N31" s="132">
        <f>Expenditure!N151</f>
        <v>674811.15615022508</v>
      </c>
      <c r="O31" s="132">
        <f>Expenditure!O151</f>
        <v>4723376.4642617209</v>
      </c>
      <c r="P31" s="132">
        <f>Expenditure!P151</f>
        <v>107796.77036331475</v>
      </c>
      <c r="Q31" s="132">
        <f>Expenditure!Q151</f>
        <v>782332.58986594109</v>
      </c>
      <c r="R31" s="132">
        <f>Expenditure!R151</f>
        <v>583770.05808908038</v>
      </c>
      <c r="S31" s="132">
        <f>Expenditure!S151</f>
        <v>3254234.0556374164</v>
      </c>
      <c r="T31" s="132">
        <f>Expenditure!T151</f>
        <v>555527.56056133052</v>
      </c>
      <c r="U31" s="132">
        <f>Expenditure!U151</f>
        <v>256404.13238943947</v>
      </c>
      <c r="V31" s="132">
        <f>Expenditure!V151</f>
        <v>200255.14773498467</v>
      </c>
      <c r="W31" s="132">
        <f>Expenditure!W151</f>
        <v>189626.4587682327</v>
      </c>
      <c r="X31" s="132">
        <f>Expenditure!X151</f>
        <v>756783.81533469423</v>
      </c>
      <c r="Y31" s="132">
        <f>Expenditure!Y151</f>
        <v>0</v>
      </c>
      <c r="Z31" s="132">
        <f>Expenditure!Z151</f>
        <v>0</v>
      </c>
      <c r="AA31" s="132">
        <f>Expenditure!AA151</f>
        <v>190955.89407465202</v>
      </c>
      <c r="AB31" s="132">
        <f>Expenditure!AB151</f>
        <v>272871.05000714894</v>
      </c>
      <c r="AC31" s="132">
        <f>Expenditure!AC151</f>
        <v>1082555.9948240155</v>
      </c>
      <c r="AD31" s="132">
        <f>Expenditure!AD151</f>
        <v>213787.19600275409</v>
      </c>
      <c r="AE31" s="132">
        <f>Expenditure!AE151</f>
        <v>0</v>
      </c>
      <c r="AF31" s="132">
        <f>Expenditure!AF151</f>
        <v>0</v>
      </c>
      <c r="AG31" s="132">
        <f>Expenditure!AG151</f>
        <v>0</v>
      </c>
      <c r="AH31" s="132">
        <f>Expenditure!AH151</f>
        <v>0</v>
      </c>
      <c r="AI31" s="132">
        <f>Expenditure!AI151</f>
        <v>0</v>
      </c>
      <c r="AJ31" s="132">
        <f>Expenditure!AJ151</f>
        <v>0</v>
      </c>
      <c r="AK31" s="132">
        <f>Expenditure!AK151</f>
        <v>0</v>
      </c>
      <c r="AL31" s="132">
        <f>Expenditure!AL151</f>
        <v>0</v>
      </c>
      <c r="AM31" s="132">
        <f>Expenditure!AM151</f>
        <v>0</v>
      </c>
      <c r="AN31" s="132">
        <f>Expenditure!AN151</f>
        <v>0</v>
      </c>
      <c r="AO31" s="132">
        <f>Expenditure!AO151</f>
        <v>0</v>
      </c>
      <c r="AP31" s="132">
        <f>Expenditure!AP151</f>
        <v>0</v>
      </c>
      <c r="AQ31" s="132">
        <f>Expenditure!AQ151</f>
        <v>0</v>
      </c>
      <c r="AR31" s="132">
        <f>Expenditure!AR151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3" t="str">
        <f>Expenditure!F152</f>
        <v>EHV and 132kV (CDCM)</v>
      </c>
      <c r="G32" s="103" t="str">
        <f>Expenditure!G152</f>
        <v>£ per year</v>
      </c>
      <c r="H32" s="126"/>
      <c r="I32" s="127"/>
      <c r="J32" s="142">
        <f>Expenditure!J152</f>
        <v>10180000</v>
      </c>
      <c r="K32" s="142">
        <f>Expenditure!K152</f>
        <v>35325674.108210169</v>
      </c>
      <c r="L32" s="142">
        <f>Expenditure!L152</f>
        <v>780345.13357043115</v>
      </c>
      <c r="M32" s="142">
        <f>Expenditure!M152</f>
        <v>2632675.2866763505</v>
      </c>
      <c r="N32" s="142">
        <f>Expenditure!N152</f>
        <v>3288486.504916654</v>
      </c>
      <c r="O32" s="142">
        <f>Expenditure!O152</f>
        <v>-827073.09047346294</v>
      </c>
      <c r="P32" s="142">
        <f>Expenditure!P152</f>
        <v>264023.03571843618</v>
      </c>
      <c r="Q32" s="142">
        <f>Expenditure!Q152</f>
        <v>1916141.1294764187</v>
      </c>
      <c r="R32" s="142">
        <f>Expenditure!R152</f>
        <v>1429808.5404482556</v>
      </c>
      <c r="S32" s="142">
        <f>Expenditure!S152</f>
        <v>7970486.9766683513</v>
      </c>
      <c r="T32" s="142">
        <f>Expenditure!T152</f>
        <v>1360635.1328552896</v>
      </c>
      <c r="U32" s="142">
        <f>Expenditure!U152</f>
        <v>628002.09297596954</v>
      </c>
      <c r="V32" s="142">
        <f>Expenditure!V152</f>
        <v>490478.25686276681</v>
      </c>
      <c r="W32" s="142">
        <f>Expenditure!W152</f>
        <v>464445.76333581866</v>
      </c>
      <c r="X32" s="142">
        <f>Expenditure!X152</f>
        <v>1853565.3678103597</v>
      </c>
      <c r="Y32" s="142">
        <f>Expenditure!Y152</f>
        <v>0</v>
      </c>
      <c r="Z32" s="142">
        <f>Expenditure!Z152</f>
        <v>0</v>
      </c>
      <c r="AA32" s="142">
        <f>Expenditure!AA152</f>
        <v>467701.90490860509</v>
      </c>
      <c r="AB32" s="142">
        <f>Expenditure!AB152</f>
        <v>668333.96529180871</v>
      </c>
      <c r="AC32" s="142">
        <f>Expenditure!AC152</f>
        <v>2651468.3058250332</v>
      </c>
      <c r="AD32" s="142">
        <f>Expenditure!AD152</f>
        <v>523621.85152801819</v>
      </c>
      <c r="AE32" s="142">
        <f>Expenditure!AE152</f>
        <v>0</v>
      </c>
      <c r="AF32" s="142">
        <f>Expenditure!AF152</f>
        <v>0</v>
      </c>
      <c r="AG32" s="142">
        <f>Expenditure!AG152</f>
        <v>0</v>
      </c>
      <c r="AH32" s="142">
        <f>Expenditure!AH152</f>
        <v>0</v>
      </c>
      <c r="AI32" s="142">
        <f>Expenditure!AI152</f>
        <v>0</v>
      </c>
      <c r="AJ32" s="142">
        <f>Expenditure!AJ152</f>
        <v>0</v>
      </c>
      <c r="AK32" s="142">
        <f>Expenditure!AK152</f>
        <v>0</v>
      </c>
      <c r="AL32" s="142">
        <f>Expenditure!AL152</f>
        <v>0</v>
      </c>
      <c r="AM32" s="142">
        <f>Expenditure!AM152</f>
        <v>0</v>
      </c>
      <c r="AN32" s="142">
        <f>Expenditure!AN152</f>
        <v>0</v>
      </c>
      <c r="AO32" s="142">
        <f>Expenditure!AO152</f>
        <v>0</v>
      </c>
      <c r="AP32" s="142">
        <f>Expenditure!AP152</f>
        <v>0</v>
      </c>
      <c r="AQ32" s="142">
        <f>Expenditure!AQ152</f>
        <v>0</v>
      </c>
      <c r="AR32" s="142">
        <f>Expenditure!AR152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96" t="s">
        <v>628</v>
      </c>
      <c r="D34" s="96"/>
      <c r="E34" s="96"/>
      <c r="F34" s="96"/>
      <c r="G34" s="96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6"/>
    </row>
    <row r="35" spans="1:46" x14ac:dyDescent="0.25">
      <c r="A35" s="39"/>
      <c r="B35" s="39"/>
      <c r="C35" s="95"/>
      <c r="D35" s="95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39"/>
      <c r="D36" s="95"/>
      <c r="E36" s="101" t="s">
        <v>249</v>
      </c>
      <c r="F36" s="39"/>
      <c r="G36" s="101" t="s">
        <v>44</v>
      </c>
      <c r="H36" s="115"/>
      <c r="I36" s="115"/>
      <c r="J36" s="146">
        <f t="array" ref="J36:AR36">TRANSPOSE('Fixed inputs'!H96:H130)</f>
        <v>1</v>
      </c>
      <c r="K36" s="146">
        <v>1</v>
      </c>
      <c r="L36" s="146">
        <v>0.23499999999999999</v>
      </c>
      <c r="M36" s="146">
        <v>0.23499999999999999</v>
      </c>
      <c r="N36" s="146">
        <v>0.23499999999999999</v>
      </c>
      <c r="O36" s="146">
        <v>0.23499999999999999</v>
      </c>
      <c r="P36" s="146">
        <v>0.52569999999999995</v>
      </c>
      <c r="Q36" s="146">
        <v>0.52569999999999995</v>
      </c>
      <c r="R36" s="146">
        <v>0.52569999999999995</v>
      </c>
      <c r="S36" s="146">
        <v>0.52569999999999995</v>
      </c>
      <c r="T36" s="146">
        <v>0.52569999999999995</v>
      </c>
      <c r="U36" s="146">
        <v>0.52569999999999995</v>
      </c>
      <c r="V36" s="146">
        <v>0.52569999999999995</v>
      </c>
      <c r="W36" s="146">
        <v>0.52569999999999995</v>
      </c>
      <c r="X36" s="146">
        <v>0.52569999999999995</v>
      </c>
      <c r="Y36" s="146">
        <v>0.52569999999999995</v>
      </c>
      <c r="Z36" s="146">
        <v>0.52569999999999995</v>
      </c>
      <c r="AA36" s="146">
        <v>0.52569999999999995</v>
      </c>
      <c r="AB36" s="146">
        <v>0.52569999999999995</v>
      </c>
      <c r="AC36" s="146">
        <v>0.52569999999999995</v>
      </c>
      <c r="AD36" s="146">
        <v>0.52569999999999995</v>
      </c>
      <c r="AE36" s="146">
        <v>0</v>
      </c>
      <c r="AF36" s="146">
        <v>0.57699999999999996</v>
      </c>
      <c r="AG36" s="146">
        <v>0</v>
      </c>
      <c r="AH36" s="146">
        <v>0</v>
      </c>
      <c r="AI36" s="146">
        <v>0</v>
      </c>
      <c r="AJ36" s="146">
        <v>0</v>
      </c>
      <c r="AK36" s="146">
        <v>0</v>
      </c>
      <c r="AL36" s="146">
        <v>0</v>
      </c>
      <c r="AM36" s="146">
        <v>0</v>
      </c>
      <c r="AN36" s="146">
        <v>0</v>
      </c>
      <c r="AO36" s="146">
        <v>0</v>
      </c>
      <c r="AP36" s="146">
        <v>0</v>
      </c>
      <c r="AQ36" s="146">
        <v>0</v>
      </c>
      <c r="AR36" s="146">
        <v>0</v>
      </c>
      <c r="AS36" s="65"/>
      <c r="AT36" s="39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101"/>
      <c r="B38" s="39"/>
      <c r="C38" s="39"/>
      <c r="D38" s="39"/>
      <c r="E38" s="101" t="s">
        <v>272</v>
      </c>
      <c r="F38" s="39"/>
      <c r="G38" s="101" t="s">
        <v>44</v>
      </c>
      <c r="H38" s="115"/>
      <c r="I38" s="111" t="s">
        <v>314</v>
      </c>
      <c r="J38" s="115">
        <f t="shared" ref="J38:AQ38" si="0">1 - J36</f>
        <v>0</v>
      </c>
      <c r="K38" s="115">
        <f t="shared" si="0"/>
        <v>0</v>
      </c>
      <c r="L38" s="115">
        <f t="shared" si="0"/>
        <v>0.76500000000000001</v>
      </c>
      <c r="M38" s="115">
        <f t="shared" si="0"/>
        <v>0.76500000000000001</v>
      </c>
      <c r="N38" s="115">
        <f t="shared" si="0"/>
        <v>0.76500000000000001</v>
      </c>
      <c r="O38" s="115">
        <f t="shared" si="0"/>
        <v>0.76500000000000001</v>
      </c>
      <c r="P38" s="115">
        <f t="shared" si="0"/>
        <v>0.47430000000000005</v>
      </c>
      <c r="Q38" s="115">
        <f t="shared" si="0"/>
        <v>0.47430000000000005</v>
      </c>
      <c r="R38" s="115">
        <f t="shared" si="0"/>
        <v>0.47430000000000005</v>
      </c>
      <c r="S38" s="115">
        <f t="shared" si="0"/>
        <v>0.47430000000000005</v>
      </c>
      <c r="T38" s="115">
        <f t="shared" si="0"/>
        <v>0.47430000000000005</v>
      </c>
      <c r="U38" s="115">
        <f t="shared" si="0"/>
        <v>0.47430000000000005</v>
      </c>
      <c r="V38" s="115">
        <f t="shared" si="0"/>
        <v>0.47430000000000005</v>
      </c>
      <c r="W38" s="115">
        <f t="shared" si="0"/>
        <v>0.47430000000000005</v>
      </c>
      <c r="X38" s="115">
        <f t="shared" si="0"/>
        <v>0.47430000000000005</v>
      </c>
      <c r="Y38" s="115">
        <f t="shared" si="0"/>
        <v>0.47430000000000005</v>
      </c>
      <c r="Z38" s="115">
        <f t="shared" si="0"/>
        <v>0.47430000000000005</v>
      </c>
      <c r="AA38" s="115">
        <f t="shared" si="0"/>
        <v>0.47430000000000005</v>
      </c>
      <c r="AB38" s="115">
        <f t="shared" si="0"/>
        <v>0.47430000000000005</v>
      </c>
      <c r="AC38" s="115">
        <f t="shared" si="0"/>
        <v>0.47430000000000005</v>
      </c>
      <c r="AD38" s="115">
        <f t="shared" si="0"/>
        <v>0.47430000000000005</v>
      </c>
      <c r="AE38" s="115">
        <f t="shared" si="0"/>
        <v>1</v>
      </c>
      <c r="AF38" s="115">
        <f t="shared" si="0"/>
        <v>0.42300000000000004</v>
      </c>
      <c r="AG38" s="115">
        <f t="shared" si="0"/>
        <v>1</v>
      </c>
      <c r="AH38" s="115">
        <f t="shared" si="0"/>
        <v>1</v>
      </c>
      <c r="AI38" s="115">
        <f t="shared" si="0"/>
        <v>1</v>
      </c>
      <c r="AJ38" s="115">
        <f t="shared" si="0"/>
        <v>1</v>
      </c>
      <c r="AK38" s="115">
        <f t="shared" si="0"/>
        <v>1</v>
      </c>
      <c r="AL38" s="115">
        <f t="shared" si="0"/>
        <v>1</v>
      </c>
      <c r="AM38" s="115">
        <f t="shared" si="0"/>
        <v>1</v>
      </c>
      <c r="AN38" s="115">
        <f t="shared" si="0"/>
        <v>1</v>
      </c>
      <c r="AO38" s="115">
        <f t="shared" si="0"/>
        <v>1</v>
      </c>
      <c r="AP38" s="115">
        <f t="shared" ref="AP38" si="1">1 - AP36</f>
        <v>1</v>
      </c>
      <c r="AQ38" s="115">
        <f t="shared" si="0"/>
        <v>1</v>
      </c>
      <c r="AR38" s="115">
        <f t="shared" ref="AR38" si="2">1 - AR36</f>
        <v>1</v>
      </c>
      <c r="AS38" s="65"/>
      <c r="AT38" s="101" t="s">
        <v>574</v>
      </c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96" t="s">
        <v>629</v>
      </c>
      <c r="D40" s="96"/>
      <c r="E40" s="96"/>
      <c r="F40" s="96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6"/>
    </row>
    <row r="41" spans="1:46" x14ac:dyDescent="0.25">
      <c r="A41" s="39"/>
      <c r="B41" s="39"/>
      <c r="C41" s="95"/>
      <c r="D41" s="95"/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101"/>
      <c r="B42" s="39"/>
      <c r="C42" s="39"/>
      <c r="D42" s="95"/>
      <c r="E42" s="98" t="s">
        <v>553</v>
      </c>
      <c r="F42" s="39"/>
      <c r="G42" s="39"/>
      <c r="H42" s="65"/>
      <c r="I42" s="112" t="s">
        <v>314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101" t="s">
        <v>574</v>
      </c>
    </row>
    <row r="43" spans="1:46" x14ac:dyDescent="0.25">
      <c r="A43" s="39"/>
      <c r="B43" s="39"/>
      <c r="C43" s="39"/>
      <c r="D43" s="39"/>
      <c r="E43" s="39"/>
      <c r="F43" s="99" t="s">
        <v>287</v>
      </c>
      <c r="G43" s="99" t="str">
        <f>Expenditure!G$19</f>
        <v>£ per year</v>
      </c>
      <c r="H43" s="125">
        <f>SUMPRODUCT(J21:AR21, J$38:AR$38)</f>
        <v>19811126.177662604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39"/>
    </row>
    <row r="44" spans="1:46" x14ac:dyDescent="0.25">
      <c r="A44" s="39"/>
      <c r="B44" s="39"/>
      <c r="C44" s="39"/>
      <c r="D44" s="39"/>
      <c r="E44" s="39"/>
      <c r="F44" s="101" t="s">
        <v>288</v>
      </c>
      <c r="G44" s="101" t="str">
        <f>Expenditure!G$19</f>
        <v>£ per year</v>
      </c>
      <c r="H44" s="110">
        <f t="shared" ref="H44:H47" si="3">SUMPRODUCT(J22:AR22, J$38:AR$38)</f>
        <v>13832646.380428622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39"/>
    </row>
    <row r="45" spans="1:46" x14ac:dyDescent="0.25">
      <c r="A45" s="39"/>
      <c r="B45" s="39"/>
      <c r="C45" s="39"/>
      <c r="D45" s="39"/>
      <c r="E45" s="39"/>
      <c r="F45" s="101" t="s">
        <v>289</v>
      </c>
      <c r="G45" s="101" t="str">
        <f>Expenditure!G$19</f>
        <v>£ per year</v>
      </c>
      <c r="H45" s="110">
        <f t="shared" si="3"/>
        <v>5498780.7296319315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290</v>
      </c>
      <c r="G46" s="101" t="str">
        <f>Expenditure!G$19</f>
        <v>£ per year</v>
      </c>
      <c r="H46" s="110">
        <f t="shared" si="3"/>
        <v>12174362.749891534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39"/>
    </row>
    <row r="47" spans="1:46" x14ac:dyDescent="0.25">
      <c r="A47" s="39"/>
      <c r="B47" s="39"/>
      <c r="C47" s="39"/>
      <c r="D47" s="39"/>
      <c r="E47" s="39"/>
      <c r="F47" s="103" t="s">
        <v>291</v>
      </c>
      <c r="G47" s="103" t="str">
        <f>Expenditure!G$19</f>
        <v>£ per year</v>
      </c>
      <c r="H47" s="126">
        <f t="shared" si="3"/>
        <v>15340742.709529389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65"/>
      <c r="AT47" s="39"/>
    </row>
    <row r="48" spans="1:4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101"/>
      <c r="B49" s="39"/>
      <c r="C49" s="39"/>
      <c r="D49" s="39"/>
      <c r="E49" s="101" t="s">
        <v>273</v>
      </c>
      <c r="F49" s="39"/>
      <c r="G49" s="101" t="str">
        <f>Expenditure!G$19</f>
        <v>£ per year</v>
      </c>
      <c r="H49" s="110">
        <f>SUM(H43:H47)</f>
        <v>66657658.747144073</v>
      </c>
      <c r="I49" s="123" t="s">
        <v>314</v>
      </c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101" t="s">
        <v>575</v>
      </c>
    </row>
    <row r="50" spans="1:46" x14ac:dyDescent="0.25">
      <c r="A50" s="39"/>
      <c r="B50" s="39"/>
      <c r="C50" s="39"/>
      <c r="D50" s="39"/>
      <c r="E50" s="101" t="s">
        <v>487</v>
      </c>
      <c r="F50" s="39"/>
      <c r="G50" s="101" t="s">
        <v>470</v>
      </c>
      <c r="H50" s="110" t="b">
        <f>H49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95"/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39"/>
    </row>
    <row r="52" spans="1:46" x14ac:dyDescent="0.25">
      <c r="A52" s="101"/>
      <c r="B52" s="39"/>
      <c r="C52" s="39"/>
      <c r="D52" s="39"/>
      <c r="E52" s="98" t="s">
        <v>554</v>
      </c>
      <c r="F52" s="39"/>
      <c r="G52" s="39"/>
      <c r="H52" s="65"/>
      <c r="I52" s="112" t="s">
        <v>314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101" t="s">
        <v>574</v>
      </c>
    </row>
    <row r="53" spans="1:46" x14ac:dyDescent="0.25">
      <c r="A53" s="39"/>
      <c r="B53" s="39"/>
      <c r="C53" s="39"/>
      <c r="D53" s="39"/>
      <c r="E53" s="39"/>
      <c r="F53" s="99" t="s">
        <v>282</v>
      </c>
      <c r="G53" s="99" t="str">
        <f>Expenditure!G$19</f>
        <v>£ per year</v>
      </c>
      <c r="H53" s="125">
        <f>SUMPRODUCT(J28:AR28, J$38:AR$38)</f>
        <v>20198110.601546008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65"/>
      <c r="AT53" s="39"/>
    </row>
    <row r="54" spans="1:46" x14ac:dyDescent="0.25">
      <c r="A54" s="39"/>
      <c r="B54" s="39"/>
      <c r="C54" s="39"/>
      <c r="D54" s="39"/>
      <c r="E54" s="39"/>
      <c r="F54" s="101" t="s">
        <v>283</v>
      </c>
      <c r="G54" s="101" t="str">
        <f>Expenditure!G$19</f>
        <v>£ per year</v>
      </c>
      <c r="H54" s="110">
        <f t="shared" ref="H54:H57" si="4">SUMPRODUCT(J29:AR29, J$38:AR$38)</f>
        <v>14202930.286566928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65"/>
      <c r="AT54" s="39"/>
    </row>
    <row r="55" spans="1:46" x14ac:dyDescent="0.25">
      <c r="A55" s="39"/>
      <c r="B55" s="39"/>
      <c r="C55" s="39"/>
      <c r="D55" s="39"/>
      <c r="E55" s="39"/>
      <c r="F55" s="101" t="s">
        <v>284</v>
      </c>
      <c r="G55" s="101" t="str">
        <f>Expenditure!G$19</f>
        <v>£ per year</v>
      </c>
      <c r="H55" s="110">
        <f t="shared" si="4"/>
        <v>5557435.8848108985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65"/>
      <c r="AT55" s="39"/>
    </row>
    <row r="56" spans="1:46" x14ac:dyDescent="0.25">
      <c r="A56" s="39"/>
      <c r="B56" s="39"/>
      <c r="C56" s="39"/>
      <c r="D56" s="39"/>
      <c r="E56" s="39"/>
      <c r="F56" s="101" t="s">
        <v>285</v>
      </c>
      <c r="G56" s="101" t="str">
        <f>Expenditure!G$19</f>
        <v>£ per year</v>
      </c>
      <c r="H56" s="110">
        <f t="shared" si="4"/>
        <v>12392583.835549073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65"/>
      <c r="AT56" s="39"/>
    </row>
    <row r="57" spans="1:46" x14ac:dyDescent="0.25">
      <c r="A57" s="39"/>
      <c r="B57" s="39"/>
      <c r="C57" s="39"/>
      <c r="D57" s="39"/>
      <c r="E57" s="39"/>
      <c r="F57" s="103" t="s">
        <v>286</v>
      </c>
      <c r="G57" s="103" t="str">
        <f>Expenditure!G$19</f>
        <v>£ per year</v>
      </c>
      <c r="H57" s="126">
        <f t="shared" si="4"/>
        <v>14306598.138671173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65"/>
      <c r="AT57" s="39"/>
    </row>
    <row r="58" spans="1:46" x14ac:dyDescent="0.25">
      <c r="A58" s="39"/>
      <c r="B58" s="39"/>
      <c r="C58" s="39"/>
      <c r="D58" s="39"/>
      <c r="E58" s="39"/>
      <c r="F58" s="39"/>
      <c r="G58" s="39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39"/>
    </row>
    <row r="59" spans="1:46" x14ac:dyDescent="0.25">
      <c r="A59" s="101"/>
      <c r="B59" s="39"/>
      <c r="C59" s="39"/>
      <c r="D59" s="39"/>
      <c r="E59" s="101" t="s">
        <v>527</v>
      </c>
      <c r="F59" s="39"/>
      <c r="G59" s="101" t="str">
        <f>Expenditure!G$19</f>
        <v>£ per year</v>
      </c>
      <c r="H59" s="110">
        <f>SUM(H53:H57)</f>
        <v>66657658.747144073</v>
      </c>
      <c r="I59" s="123" t="s">
        <v>314</v>
      </c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65"/>
      <c r="AT59" s="101" t="s">
        <v>575</v>
      </c>
    </row>
    <row r="60" spans="1:46" x14ac:dyDescent="0.25">
      <c r="A60" s="39"/>
      <c r="B60" s="39"/>
      <c r="C60" s="39"/>
      <c r="D60" s="39"/>
      <c r="E60" s="101" t="s">
        <v>528</v>
      </c>
      <c r="F60" s="39"/>
      <c r="G60" s="101" t="s">
        <v>470</v>
      </c>
      <c r="H60" s="110" t="b">
        <f>H59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39"/>
      <c r="D62" s="39"/>
      <c r="E62" s="101" t="s">
        <v>745</v>
      </c>
      <c r="F62" s="39"/>
      <c r="G62" s="101" t="str">
        <f>Expenditure!G$19</f>
        <v>£ per year</v>
      </c>
      <c r="H62" s="110">
        <f>ABS(H49 - H59)</f>
        <v>0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39"/>
    </row>
    <row r="63" spans="1:46" x14ac:dyDescent="0.25">
      <c r="A63" s="39"/>
      <c r="B63" s="39"/>
      <c r="C63" s="39"/>
      <c r="D63" s="39"/>
      <c r="E63" s="101" t="s">
        <v>275</v>
      </c>
      <c r="F63" s="39"/>
      <c r="G63" s="101" t="s">
        <v>231</v>
      </c>
      <c r="H63" s="116">
        <f>IF(ABS(H62) &lt; 10^-'Fixed inputs'!H$410,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65"/>
      <c r="AT63" s="39"/>
    </row>
    <row r="64" spans="1:4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39"/>
    </row>
    <row r="65" spans="1:46" x14ac:dyDescent="0.25">
      <c r="A65" s="39"/>
      <c r="B65" s="39"/>
      <c r="C65" s="96" t="s">
        <v>630</v>
      </c>
      <c r="D65" s="96"/>
      <c r="E65" s="96"/>
      <c r="F65" s="96"/>
      <c r="G65" s="96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6"/>
    </row>
    <row r="66" spans="1:46" x14ac:dyDescent="0.25">
      <c r="A66" s="39"/>
      <c r="B66" s="39"/>
      <c r="C66" s="95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39"/>
    </row>
    <row r="67" spans="1:46" x14ac:dyDescent="0.25">
      <c r="A67" s="101"/>
      <c r="B67" s="39"/>
      <c r="C67" s="39"/>
      <c r="D67" s="95"/>
      <c r="E67" s="98" t="s">
        <v>274</v>
      </c>
      <c r="F67" s="39"/>
      <c r="G67" s="39"/>
      <c r="H67" s="65"/>
      <c r="I67" s="112" t="s">
        <v>314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101" t="s">
        <v>575</v>
      </c>
    </row>
    <row r="68" spans="1:46" x14ac:dyDescent="0.25">
      <c r="A68" s="39"/>
      <c r="B68" s="39"/>
      <c r="C68" s="39"/>
      <c r="D68" s="39"/>
      <c r="E68" s="39"/>
      <c r="F68" s="99" t="s">
        <v>287</v>
      </c>
      <c r="G68" s="99" t="s">
        <v>44</v>
      </c>
      <c r="H68" s="133">
        <f>IF(H$50, H43 / H$49, 0)</f>
        <v>0.29720705092288296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65"/>
      <c r="AT68" s="39"/>
    </row>
    <row r="69" spans="1:46" x14ac:dyDescent="0.25">
      <c r="A69" s="39"/>
      <c r="B69" s="39"/>
      <c r="C69" s="39"/>
      <c r="D69" s="39"/>
      <c r="E69" s="39"/>
      <c r="F69" s="101" t="s">
        <v>288</v>
      </c>
      <c r="G69" s="101" t="s">
        <v>44</v>
      </c>
      <c r="H69" s="134">
        <f>IF(H$50, H44 / H$49, 0)</f>
        <v>0.20751773525230927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65"/>
      <c r="AT69" s="39"/>
    </row>
    <row r="70" spans="1:46" x14ac:dyDescent="0.25">
      <c r="A70" s="39"/>
      <c r="B70" s="39"/>
      <c r="C70" s="39"/>
      <c r="D70" s="39"/>
      <c r="E70" s="39"/>
      <c r="F70" s="101" t="s">
        <v>289</v>
      </c>
      <c r="G70" s="101" t="s">
        <v>44</v>
      </c>
      <c r="H70" s="134">
        <f>IF(H$50, H45 / H$49, 0)</f>
        <v>8.2492857279772444E-2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65"/>
      <c r="AT70" s="39"/>
    </row>
    <row r="71" spans="1:46" x14ac:dyDescent="0.25">
      <c r="A71" s="39"/>
      <c r="B71" s="39"/>
      <c r="C71" s="39"/>
      <c r="D71" s="39"/>
      <c r="E71" s="39"/>
      <c r="F71" s="101" t="s">
        <v>290</v>
      </c>
      <c r="G71" s="101" t="s">
        <v>44</v>
      </c>
      <c r="H71" s="134">
        <f>IF(H$50, H46 / H$49, 0)</f>
        <v>0.182640119360825</v>
      </c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65"/>
      <c r="AT71" s="39"/>
    </row>
    <row r="72" spans="1:46" x14ac:dyDescent="0.25">
      <c r="A72" s="39"/>
      <c r="B72" s="39"/>
      <c r="C72" s="39"/>
      <c r="D72" s="39"/>
      <c r="E72" s="39"/>
      <c r="F72" s="103" t="s">
        <v>291</v>
      </c>
      <c r="G72" s="103" t="s">
        <v>44</v>
      </c>
      <c r="H72" s="135">
        <f>IF(H$50, H47 / H$49, 0)</f>
        <v>0.2301422371842104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65"/>
      <c r="AT72" s="39"/>
    </row>
    <row r="73" spans="1:46" x14ac:dyDescent="0.25">
      <c r="A73" s="39"/>
      <c r="B73" s="39"/>
      <c r="C73" s="39"/>
      <c r="D73" s="39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101" t="s">
        <v>239</v>
      </c>
      <c r="F74" s="39"/>
      <c r="G74" s="101" t="s">
        <v>231</v>
      </c>
      <c r="H74" s="116">
        <f>IF(SUM(H68:H72)= 1, 0, 1)</f>
        <v>0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65"/>
      <c r="AT74" s="39"/>
    </row>
    <row r="75" spans="1:4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39"/>
    </row>
    <row r="76" spans="1:46" x14ac:dyDescent="0.25">
      <c r="A76" s="101"/>
      <c r="B76" s="39"/>
      <c r="C76" s="39"/>
      <c r="D76" s="39"/>
      <c r="E76" s="98" t="s">
        <v>266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101" t="s">
        <v>575</v>
      </c>
    </row>
    <row r="77" spans="1:46" x14ac:dyDescent="0.25">
      <c r="A77" s="39"/>
      <c r="B77" s="39"/>
      <c r="C77" s="39"/>
      <c r="D77" s="39"/>
      <c r="E77" s="39"/>
      <c r="F77" s="99" t="s">
        <v>282</v>
      </c>
      <c r="G77" s="99" t="s">
        <v>44</v>
      </c>
      <c r="H77" s="133">
        <f>IF(H$60, H53 / H$59, 0)</f>
        <v>0.30301260172014954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1" t="s">
        <v>283</v>
      </c>
      <c r="G78" s="101" t="s">
        <v>44</v>
      </c>
      <c r="H78" s="134">
        <f>IF(H$60, H54 / H$59, 0)</f>
        <v>0.21307274443051824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101" t="s">
        <v>284</v>
      </c>
      <c r="G79" s="101" t="s">
        <v>44</v>
      </c>
      <c r="H79" s="134">
        <f>IF(H$60, H55 / H$59, 0)</f>
        <v>8.3372803504728629E-2</v>
      </c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65"/>
      <c r="AT79" s="39"/>
    </row>
    <row r="80" spans="1:46" x14ac:dyDescent="0.25">
      <c r="A80" s="39"/>
      <c r="B80" s="39"/>
      <c r="C80" s="39"/>
      <c r="D80" s="39"/>
      <c r="E80" s="39"/>
      <c r="F80" s="101" t="s">
        <v>285</v>
      </c>
      <c r="G80" s="101" t="s">
        <v>44</v>
      </c>
      <c r="H80" s="134">
        <f>IF(H$60, H56 / H$59, 0)</f>
        <v>0.18591387799200237</v>
      </c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65"/>
      <c r="AT80" s="39"/>
    </row>
    <row r="81" spans="1:46" x14ac:dyDescent="0.25">
      <c r="A81" s="39"/>
      <c r="B81" s="39"/>
      <c r="C81" s="39"/>
      <c r="D81" s="39"/>
      <c r="E81" s="39"/>
      <c r="F81" s="103" t="s">
        <v>286</v>
      </c>
      <c r="G81" s="103" t="s">
        <v>44</v>
      </c>
      <c r="H81" s="135">
        <f>IF(H$60, H57 / H$59, 0)</f>
        <v>0.21462797235260134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39"/>
    </row>
    <row r="83" spans="1:46" x14ac:dyDescent="0.25">
      <c r="A83" s="39"/>
      <c r="B83" s="39"/>
      <c r="C83" s="39"/>
      <c r="D83" s="39"/>
      <c r="E83" s="101" t="s">
        <v>239</v>
      </c>
      <c r="F83" s="39"/>
      <c r="G83" s="101" t="s">
        <v>231</v>
      </c>
      <c r="H83" s="116">
        <f>IF(SUM(H77:H81)= 1, 0, 1)</f>
        <v>0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65"/>
      <c r="AT83" s="39"/>
    </row>
    <row r="84" spans="1:46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39"/>
    </row>
    <row r="85" spans="1:46" x14ac:dyDescent="0.25">
      <c r="A85" s="39"/>
      <c r="B85" s="93" t="s">
        <v>242</v>
      </c>
      <c r="C85" s="93"/>
      <c r="D85" s="93"/>
      <c r="E85" s="93"/>
      <c r="F85" s="93"/>
      <c r="G85" s="93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3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5"/>
      <c r="D87" s="95"/>
      <c r="E87" s="101" t="s">
        <v>232</v>
      </c>
      <c r="F87" s="39"/>
      <c r="G87" s="101" t="s">
        <v>231</v>
      </c>
      <c r="H87" s="139">
        <f>H63 + H74 + H83</f>
        <v>0</v>
      </c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65"/>
      <c r="AT87" s="39"/>
    </row>
    <row r="88" spans="1:46" x14ac:dyDescent="0.25">
      <c r="A88" s="39"/>
      <c r="B88" s="39"/>
      <c r="C88" s="39"/>
      <c r="D88" s="39"/>
      <c r="E88" s="95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39"/>
      <c r="B89" s="93" t="s">
        <v>30</v>
      </c>
      <c r="C89" s="93"/>
      <c r="D89" s="93"/>
      <c r="E89" s="93"/>
      <c r="F89" s="93"/>
      <c r="G89" s="93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3"/>
    </row>
  </sheetData>
  <sheetProtection sheet="1" formatCells="0" formatColumns="0" formatRows="0" sort="0" autoFilter="0"/>
  <conditionalFormatting sqref="H63">
    <cfRule type="cellIs" dxfId="26" priority="4" stopIfTrue="1" operator="greaterThan">
      <formula>0</formula>
    </cfRule>
  </conditionalFormatting>
  <conditionalFormatting sqref="H74">
    <cfRule type="cellIs" dxfId="25" priority="5" stopIfTrue="1" operator="greaterThan">
      <formula>0</formula>
    </cfRule>
  </conditionalFormatting>
  <conditionalFormatting sqref="H83">
    <cfRule type="cellIs" dxfId="24" priority="6" stopIfTrue="1" operator="greaterThan">
      <formula>0</formula>
    </cfRule>
  </conditionalFormatting>
  <conditionalFormatting sqref="H87">
    <cfRule type="cellIs" dxfId="23" priority="7" stopIfTrue="1" operator="greaterThan">
      <formula>0</formula>
    </cfRule>
  </conditionalFormatting>
  <conditionalFormatting sqref="A4:AO4 AQ4 AS4:XFD4">
    <cfRule type="expression" dxfId="22" priority="3">
      <formula>LEFT($A$4,1) &lt;&gt; "0"</formula>
    </cfRule>
  </conditionalFormatting>
  <conditionalFormatting sqref="AP4">
    <cfRule type="expression" dxfId="21" priority="2">
      <formula>LEFT($A$4,1) &lt;&gt; "0"</formula>
    </cfRule>
  </conditionalFormatting>
  <conditionalFormatting sqref="AR4">
    <cfRule type="expression" dxfId="20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19579-5AB0-45A9-ACE2-09DB8D0D6DFC}">
  <ds:schemaRefs>
    <ds:schemaRef ds:uri="http://purl.org/dc/dcmitype/"/>
    <ds:schemaRef ds:uri="http://schemas.microsoft.com/office/infopath/2007/PartnerControls"/>
    <ds:schemaRef ds:uri="56525fcc-fd9b-4a18-b571-66fa38027e5b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dcbf8a88-e063-4a69-82e9-42d02808f6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F112B1-5236-4527-81AA-F6866E421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2022-12-15T10:55:04Z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